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235" windowHeight="7170"/>
  </bookViews>
  <sheets>
    <sheet name="Scorecard" sheetId="1" r:id="rId1"/>
    <sheet name="Chart of cash invested" sheetId="6" r:id="rId2"/>
    <sheet name="Data (ignore)" sheetId="4" state="hidden" r:id="rId3"/>
  </sheets>
  <definedNames>
    <definedName name="_?symbol_fxa_ocid_qbeb" localSheetId="2">'Data (ignore)'!$A$565:$B$581</definedName>
    <definedName name="_?symbol_fxc_ocid_qbeb" localSheetId="2">'Data (ignore)'!$A$583:$B$599</definedName>
    <definedName name="_?symbol_fxe_ocid_qbeb" localSheetId="2">'Data (ignore)'!$A$601:$B$617</definedName>
    <definedName name="_?symbol_fxf_ocid_qbeb" localSheetId="2">'Data (ignore)'!$A$619:$B$635</definedName>
    <definedName name="_?symbol_fxy_ocid_qbeb" localSheetId="2">'Data (ignore)'!$A$637:$B$653</definedName>
    <definedName name="_?symbol_gld_ocid_qbeb" localSheetId="2">'Data (ignore)'!$A$689:$B$705</definedName>
    <definedName name="_?symbol_prgsx_ocid_qbeb" localSheetId="2">'Data (ignore)'!$A$1:$B$8</definedName>
    <definedName name="_?symbol_slv_ocid_qbeb" localSheetId="2">'Data (ignore)'!$A$671:$B$687</definedName>
    <definedName name="_?symbol_spy_ocid_qbeb" localSheetId="2">'Data (ignore)'!$A$1187:$B$1203</definedName>
    <definedName name="_?symbol_vgsix_ocid_qbeb" localSheetId="2">'Data (ignore)'!$A$122:$B$129</definedName>
    <definedName name="ExternalData_1" localSheetId="0">Scorecard!#REF!</definedName>
    <definedName name="stock_price?Symbol_aln_ocid_qbeb" localSheetId="2">'Data (ignore)'!$A$803:$B$817</definedName>
    <definedName name="stock_price?Symbol_alu_ocid_qbeb" localSheetId="2">'Data (ignore)'!$A$963:$B$977</definedName>
    <definedName name="stock_price?Symbol_an_ocid_qbeb" localSheetId="2">'Data (ignore)'!$A$227:$B$241</definedName>
    <definedName name="stock_price?Symbol_apc_ocid_qbeb" localSheetId="2">'Data (ignore)'!$A$403:$B$417</definedName>
    <definedName name="stock_price?Symbol_axp_ocid_qbeb" localSheetId="2">'Data (ignore)'!$A$723:$B$737</definedName>
    <definedName name="stock_price?Symbol_bfs_ocid_qbeb" localSheetId="2">'Data (ignore)'!$A$106:$B$120</definedName>
    <definedName name="stock_price?Symbol_bkutk_ocid_qbeb" localSheetId="2">'Data (ignore)'!$A$995:$B$1009</definedName>
    <definedName name="stock_price?Symbol_boref_ocid_qbeb" localSheetId="2">'Data (ignore)'!$A$1171:$B$1185</definedName>
    <definedName name="stock_price?Symbol_bth_ocid_qbeb" localSheetId="2">'Data (ignore)'!$A$26:$B$40</definedName>
    <definedName name="stock_price?Symbol_bx_ocid_qbeb" localSheetId="2">'Data (ignore)'!$A$515:$B$529</definedName>
    <definedName name="stock_price?Symbol_c_ocid_qbeb" localSheetId="2">'Data (ignore)'!$A$243:$B$257</definedName>
    <definedName name="stock_price?Symbol_cbrx_ocid_qbeb_1" localSheetId="2">'Data (ignore)'!$A$867:$B$881</definedName>
    <definedName name="stock_price?Symbol_cisg_ocid_qbeb" localSheetId="2">'Data (ignore)'!$A$1205:$B$1219</definedName>
    <definedName name="stock_price?symbol_cmlp_ocid_qbeb" localSheetId="2">'Data (ignore)'!$A$1091:$B$1105</definedName>
    <definedName name="stock_price?Symbol_cvv_ocid_qbeb" localSheetId="2">'Data (ignore)'!$A$883:$B$897</definedName>
    <definedName name="stock_price?Symbol_dcth_ocid_qbeb" localSheetId="2">'Data (ignore)'!$A$819:$B$833</definedName>
    <definedName name="stock_price?Symbol_dd_ocid_qbeb" localSheetId="2">'Data (ignore)'!$A$435:$B$449</definedName>
    <definedName name="stock_price?Symbol_depo_ocid_qbeb" localSheetId="2">'Data (ignore)'!$A$771:$B$785</definedName>
    <definedName name="stock_price?Symbol_dvax_ocid_qbeb" localSheetId="2">'Data (ignore)'!$A$931:$B$945</definedName>
    <definedName name="stock_price?Symbol_emis_ocid_qbeb" localSheetId="2">'Data (ignore)'!$A$323:$B$337</definedName>
    <definedName name="stock_price?Symbol_emis_ocid_qbeb_1" localSheetId="2">'Data (ignore)'!$A$835:$B$849</definedName>
    <definedName name="stock_price?Symbol_epd_ocid_qbeb" localSheetId="2">'Data (ignore)'!$A$259:$B$273</definedName>
    <definedName name="stock_price?Symbol_etrm_ocid_qbeb" localSheetId="2">'Data (ignore)'!$A$1107:$B$1121</definedName>
    <definedName name="stock_price?Symbol_fgp_ocid_qbeb" localSheetId="2">'Data (ignore)'!$A$339:$B$353</definedName>
    <definedName name="stock_price?Symbol_fmd_ocid_qbeb" localSheetId="2">'Data (ignore)'!$A$483:$B$497</definedName>
    <definedName name="stock_price?Symbol_gd_ocid_qbeb" localSheetId="2">'Data (ignore)'!$A$42:$B$56</definedName>
    <definedName name="stock_price?Symbol_ge_ocid_qbeb" localSheetId="2">'Data (ignore)'!$A$451:$B$465</definedName>
    <definedName name="stock_price?Symbol_gldd_ocid_qbeb" localSheetId="2">'Data (ignore)'!$A$707:$B$721</definedName>
    <definedName name="stock_price?Symbol_hmc_ocid_qbeb" localSheetId="2">'Data (ignore)'!$A$195:$B$209</definedName>
    <definedName name="stock_price?Symbol_infu_ocid_qbeb" localSheetId="2">'Data (ignore)'!$A$787:$B$801</definedName>
    <definedName name="stock_price?Symbol_jnj_ocid_qbeb" localSheetId="2">'Data (ignore)'!$A$275:$B$289</definedName>
    <definedName name="stock_price?Symbol_jnpr_ocid_qbeb" localSheetId="2">'Data (ignore)'!$A$211:$B$225</definedName>
    <definedName name="stock_price?Symbol_jny_ocid_qbeb" localSheetId="2">'Data (ignore)'!$A$58:$B$72</definedName>
    <definedName name="stock_price?Symbol_kf_ocid_qbeb" localSheetId="2">'Data (ignore)'!$A$419:$B$433</definedName>
    <definedName name="stock_price?Symbol_kmp_ocid_qbeb" localSheetId="2">'Data (ignore)'!$A$655:$B$669</definedName>
    <definedName name="stock_price?Symbol_kyth_ocid_qbeb" localSheetId="2">'Data (ignore)'!$A$1139:$B$1153</definedName>
    <definedName name="stock_price?Symbol_mck_ocid_qbeb" localSheetId="2">'Data (ignore)'!$A$147:$B$161</definedName>
    <definedName name="stock_price?Symbol_mrk_ocid_qbeb" localSheetId="2">'Data (ignore)'!$A$291:$B$305</definedName>
    <definedName name="stock_price?Symbol_mrtx_ocid_qbeb" localSheetId="2">'Data (ignore)'!$A$899:$B$913</definedName>
    <definedName name="stock_price?Symbol_msft_ocid_qbeb" localSheetId="2">'Data (ignore)'!$A$131:$B$145</definedName>
    <definedName name="stock_price?Symbol_mvc_ocid_qbeb" localSheetId="2">'Data (ignore)'!$A$179:$B$193</definedName>
    <definedName name="stock_price?Symbol_mwe_ocid_qbeb" localSheetId="2">'Data (ignore)'!$A$1043:$B$1057</definedName>
    <definedName name="stock_price?Symbol_ncr_ocid_qbeb" localSheetId="2">'Data (ignore)'!$A$10:$B$24</definedName>
    <definedName name="stock_price?Symbol_nktr_ocid_qbeb" localSheetId="2">'Data (ignore)'!$A$1155:$B$1169</definedName>
    <definedName name="stock_price?Symbol_npk_ocid_qbeb" localSheetId="2">'Data (ignore)'!$A$163:$B$177</definedName>
    <definedName name="stock_price?Symbol_npsp_ocid_qbeb" localSheetId="2">'Data (ignore)'!$A$851:$B$865</definedName>
    <definedName name="stock_price?Symbol_ntii_ocid_qbeb" localSheetId="2">'Data (ignore)'!$A$307:$B$321</definedName>
    <definedName name="stock_price?Symbol_oks_ocid_qbeb" localSheetId="2">'Data (ignore)'!$A$1027:$B$1041</definedName>
    <definedName name="stock_price?Symbol_paa_ocid_qbeb" localSheetId="2">'Data (ignore)'!$A$1011:$B$1025</definedName>
    <definedName name="stock_price?Symbol_pars_ocid_qbeb" localSheetId="2">'Data (ignore)'!$A$755:$B$769</definedName>
    <definedName name="stock_price?Symbol_pcg_ocid_qbeb" localSheetId="2">'Data (ignore)'!$A$355:$B$369</definedName>
    <definedName name="stock_price?Symbol_pcl_ocid_qbeb" localSheetId="2">'Data (ignore)'!$A$387:$B$401</definedName>
    <definedName name="stock_price?Symbol_pvr_ocid_qbeb" localSheetId="2">'Data (ignore)'!$A$1059:$B$1073</definedName>
    <definedName name="stock_price?Symbol_roic_ocid_qbeb" localSheetId="2">'Data (ignore)'!$A$549:$B$563</definedName>
    <definedName name="stock_price?Symbol_roicw_ocid_qbeb" localSheetId="2">'Data (ignore)'!$A$531:$B$545</definedName>
    <definedName name="stock_price?Symbol_siga_ocid_qbeb" localSheetId="2">'Data (ignore)'!$A$947:$B$961</definedName>
    <definedName name="stock_price?Symbol_smbc_ocid_qbeb" localSheetId="2">'Data (ignore)'!$A$979:$B$993</definedName>
    <definedName name="stock_price?Symbol_sne_ocid_qbeb" localSheetId="2">'Data (ignore)'!$A$371:$B$385</definedName>
    <definedName name="stock_price?Symbol_soda_ocid_qbeb" localSheetId="2">'Data (ignore)'!$A$1123:$B$1137</definedName>
    <definedName name="stock_price?Symbol_too_ocid_qbeb" localSheetId="2">'Data (ignore)'!$A$1075:$B$1089</definedName>
    <definedName name="stock_price?Symbol_ttnp_ocid_qbeb" localSheetId="2">'Data (ignore)'!$A$915:$B$929</definedName>
    <definedName name="stock_price?Symbol_usb_ocid_qbeb" localSheetId="2">'Data (ignore)'!$A$74:$B$88</definedName>
    <definedName name="stock_price?Symbol_vno_ocid_qbeb" localSheetId="2">'Data (ignore)'!$A$90:$B$104</definedName>
    <definedName name="stock_price?Symbol_vz_ocid_qbeb" localSheetId="2">'Data (ignore)'!$A$499:$B$513</definedName>
    <definedName name="stock_price?Symbol_wfc_ocid_qbeb" localSheetId="2">'Data (ignore)'!$A$739:$B$753</definedName>
    <definedName name="stock_price?Symbol_wmt_ocid_qbeb" localSheetId="2">'Data (ignore)'!$A$467:$B$481</definedName>
  </definedNames>
  <calcPr calcId="145621"/>
</workbook>
</file>

<file path=xl/calcChain.xml><?xml version="1.0" encoding="utf-8"?>
<calcChain xmlns="http://schemas.openxmlformats.org/spreadsheetml/2006/main">
  <c r="O430" i="1" l="1"/>
  <c r="O413" i="1"/>
  <c r="O140" i="1"/>
  <c r="O123" i="1"/>
  <c r="O448" i="1"/>
  <c r="O439" i="1"/>
  <c r="H504" i="1"/>
  <c r="L504" i="1"/>
  <c r="L503" i="1"/>
  <c r="H503" i="1"/>
  <c r="O147" i="1"/>
  <c r="L214" i="1"/>
  <c r="H214" i="1"/>
  <c r="L213" i="1"/>
  <c r="H213" i="1"/>
  <c r="O189" i="1"/>
  <c r="O158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130" i="1"/>
  <c r="A128" i="1"/>
  <c r="A129" i="1"/>
  <c r="A122" i="1"/>
  <c r="A107" i="1"/>
  <c r="A105" i="1"/>
  <c r="A101" i="1"/>
  <c r="A99" i="1"/>
  <c r="A98" i="1"/>
  <c r="A97" i="1"/>
  <c r="A214" i="1" l="1"/>
  <c r="A215" i="1" s="1"/>
  <c r="A216" i="1" s="1"/>
  <c r="N504" i="1"/>
  <c r="P504" i="1" s="1"/>
  <c r="N213" i="1"/>
  <c r="P213" i="1" s="1"/>
  <c r="N503" i="1"/>
  <c r="P503" i="1" s="1"/>
  <c r="N214" i="1"/>
  <c r="P214" i="1" s="1"/>
  <c r="A93" i="1"/>
  <c r="A92" i="1"/>
  <c r="A91" i="1"/>
  <c r="A90" i="1"/>
  <c r="A87" i="1"/>
  <c r="A85" i="1"/>
  <c r="A80" i="1"/>
  <c r="A74" i="1"/>
  <c r="A68" i="1"/>
  <c r="A64" i="1"/>
  <c r="A53" i="1"/>
  <c r="A46" i="1" l="1"/>
  <c r="A31" i="1"/>
  <c r="A26" i="1"/>
  <c r="A15" i="1" s="1"/>
  <c r="AA17" i="1"/>
  <c r="J218" i="1"/>
  <c r="J7" i="1"/>
  <c r="J12" i="1" s="1"/>
  <c r="J506" i="1" s="1"/>
  <c r="O503" i="1" l="1"/>
  <c r="O504" i="1"/>
  <c r="Q504" i="1" s="1"/>
  <c r="O213" i="1"/>
  <c r="O214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6" i="1"/>
  <c r="L483" i="1"/>
  <c r="L482" i="1"/>
  <c r="L481" i="1"/>
  <c r="L480" i="1"/>
  <c r="L479" i="1"/>
  <c r="L478" i="1"/>
  <c r="L477" i="1"/>
  <c r="L474" i="1"/>
  <c r="L473" i="1"/>
  <c r="L472" i="1"/>
  <c r="L471" i="1"/>
  <c r="L470" i="1"/>
  <c r="L469" i="1"/>
  <c r="L468" i="1"/>
  <c r="L466" i="1"/>
  <c r="L462" i="1"/>
  <c r="L460" i="1"/>
  <c r="L459" i="1"/>
  <c r="L458" i="1"/>
  <c r="L457" i="1"/>
  <c r="L456" i="1"/>
  <c r="L455" i="1"/>
  <c r="L445" i="1"/>
  <c r="L441" i="1"/>
  <c r="L440" i="1"/>
  <c r="L438" i="1"/>
  <c r="L437" i="1"/>
  <c r="L436" i="1"/>
  <c r="L435" i="1"/>
  <c r="L434" i="1"/>
  <c r="L433" i="1"/>
  <c r="L432" i="1"/>
  <c r="L431" i="1"/>
  <c r="L428" i="1"/>
  <c r="L426" i="1"/>
  <c r="L425" i="1"/>
  <c r="L424" i="1"/>
  <c r="L420" i="1"/>
  <c r="L416" i="1"/>
  <c r="L415" i="1"/>
  <c r="L414" i="1"/>
  <c r="L412" i="1"/>
  <c r="L409" i="1"/>
  <c r="L405" i="1"/>
  <c r="L404" i="1"/>
  <c r="L403" i="1"/>
  <c r="L402" i="1"/>
  <c r="L401" i="1"/>
  <c r="L400" i="1"/>
  <c r="L399" i="1"/>
  <c r="L396" i="1"/>
  <c r="L395" i="1"/>
  <c r="L394" i="1"/>
  <c r="L393" i="1"/>
  <c r="L392" i="1"/>
  <c r="L391" i="1"/>
  <c r="L390" i="1"/>
  <c r="L388" i="1"/>
  <c r="L387" i="1"/>
  <c r="L383" i="1"/>
  <c r="L382" i="1"/>
  <c r="L379" i="1"/>
  <c r="L378" i="1"/>
  <c r="L374" i="1"/>
  <c r="L371" i="1"/>
  <c r="L367" i="1"/>
  <c r="L366" i="1"/>
  <c r="L362" i="1"/>
  <c r="L361" i="1"/>
  <c r="L359" i="1"/>
  <c r="L358" i="1"/>
  <c r="L357" i="1"/>
  <c r="L355" i="1"/>
  <c r="L354" i="1"/>
  <c r="L352" i="1"/>
  <c r="L351" i="1"/>
  <c r="L350" i="1"/>
  <c r="L348" i="1"/>
  <c r="L347" i="1"/>
  <c r="L346" i="1"/>
  <c r="L345" i="1"/>
  <c r="L343" i="1"/>
  <c r="L340" i="1"/>
  <c r="L339" i="1"/>
  <c r="L333" i="1"/>
  <c r="L331" i="1"/>
  <c r="L330" i="1"/>
  <c r="L326" i="1"/>
  <c r="L325" i="1"/>
  <c r="L324" i="1"/>
  <c r="L323" i="1"/>
  <c r="L322" i="1"/>
  <c r="L321" i="1"/>
  <c r="L320" i="1"/>
  <c r="L319" i="1"/>
  <c r="L318" i="1"/>
  <c r="L317" i="1"/>
  <c r="L315" i="1"/>
  <c r="L309" i="1"/>
  <c r="L308" i="1"/>
  <c r="L307" i="1"/>
  <c r="L17" i="1"/>
  <c r="L18" i="1"/>
  <c r="L25" i="1"/>
  <c r="L27" i="1"/>
  <c r="L28" i="1"/>
  <c r="L29" i="1"/>
  <c r="L30" i="1"/>
  <c r="L31" i="1"/>
  <c r="L32" i="1"/>
  <c r="L33" i="1"/>
  <c r="L35" i="1"/>
  <c r="L36" i="1"/>
  <c r="L40" i="1"/>
  <c r="L41" i="1"/>
  <c r="L43" i="1"/>
  <c r="L49" i="1"/>
  <c r="L50" i="1"/>
  <c r="L53" i="1"/>
  <c r="L55" i="1"/>
  <c r="L57" i="1"/>
  <c r="L58" i="1"/>
  <c r="L60" i="1"/>
  <c r="L61" i="1"/>
  <c r="L62" i="1"/>
  <c r="L64" i="1"/>
  <c r="L56" i="1" s="1"/>
  <c r="L65" i="1"/>
  <c r="L67" i="1"/>
  <c r="L68" i="1"/>
  <c r="O76" i="1"/>
  <c r="L77" i="1"/>
  <c r="L81" i="1"/>
  <c r="L84" i="1"/>
  <c r="L88" i="1"/>
  <c r="L89" i="1"/>
  <c r="L91" i="1"/>
  <c r="L69" i="1" s="1"/>
  <c r="L92" i="1"/>
  <c r="L93" i="1"/>
  <c r="L97" i="1"/>
  <c r="L103" i="1"/>
  <c r="L104" i="1"/>
  <c r="L110" i="1"/>
  <c r="L111" i="1"/>
  <c r="L112" i="1"/>
  <c r="L113" i="1"/>
  <c r="L114" i="1"/>
  <c r="L119" i="1"/>
  <c r="L115" i="1" s="1"/>
  <c r="L122" i="1"/>
  <c r="L130" i="1"/>
  <c r="L141" i="1"/>
  <c r="L142" i="1"/>
  <c r="L145" i="1"/>
  <c r="L135" i="1" s="1"/>
  <c r="L148" i="1"/>
  <c r="L150" i="1"/>
  <c r="L144" i="1" s="1"/>
  <c r="L151" i="1"/>
  <c r="L169" i="1"/>
  <c r="L170" i="1"/>
  <c r="L178" i="1"/>
  <c r="L179" i="1"/>
  <c r="L180" i="1"/>
  <c r="L182" i="1"/>
  <c r="L176" i="1" s="1"/>
  <c r="L183" i="1"/>
  <c r="L184" i="1"/>
  <c r="L188" i="1"/>
  <c r="L191" i="1"/>
  <c r="L192" i="1"/>
  <c r="L193" i="1"/>
  <c r="L172" i="1" s="1"/>
  <c r="L196" i="1"/>
  <c r="L198" i="1"/>
  <c r="L199" i="1"/>
  <c r="L200" i="1"/>
  <c r="L201" i="1"/>
  <c r="L202" i="1"/>
  <c r="L203" i="1"/>
  <c r="L204" i="1"/>
  <c r="L205" i="1"/>
  <c r="L190" i="1" s="1"/>
  <c r="L181" i="1" s="1"/>
  <c r="L206" i="1"/>
  <c r="L207" i="1"/>
  <c r="L208" i="1"/>
  <c r="L209" i="1"/>
  <c r="L211" i="1"/>
  <c r="L212" i="1"/>
  <c r="O197" i="1"/>
  <c r="F504" i="1" l="1"/>
  <c r="F503" i="1"/>
  <c r="Q503" i="1"/>
  <c r="Q214" i="1"/>
  <c r="F214" i="1"/>
  <c r="Q213" i="1"/>
  <c r="F213" i="1"/>
  <c r="L138" i="1"/>
  <c r="L134" i="1"/>
  <c r="L146" i="1"/>
  <c r="L124" i="1" s="1"/>
  <c r="L155" i="1"/>
  <c r="L187" i="1"/>
  <c r="O502" i="1" l="1"/>
  <c r="F502" i="1" s="1"/>
  <c r="H502" i="1"/>
  <c r="O501" i="1"/>
  <c r="F501" i="1" s="1"/>
  <c r="H501" i="1"/>
  <c r="O500" i="1" l="1"/>
  <c r="F500" i="1" s="1"/>
  <c r="H500" i="1"/>
  <c r="O499" i="1"/>
  <c r="F499" i="1" s="1"/>
  <c r="H499" i="1"/>
  <c r="J499" i="1" s="1"/>
  <c r="O498" i="1"/>
  <c r="F498" i="1" s="1"/>
  <c r="H498" i="1"/>
  <c r="J498" i="1" s="1"/>
  <c r="O497" i="1"/>
  <c r="F497" i="1" s="1"/>
  <c r="H497" i="1"/>
  <c r="J497" i="1" s="1"/>
  <c r="O496" i="1"/>
  <c r="F496" i="1" s="1"/>
  <c r="H496" i="1"/>
  <c r="J496" i="1" s="1"/>
  <c r="O495" i="1"/>
  <c r="F495" i="1" s="1"/>
  <c r="H495" i="1"/>
  <c r="J495" i="1" s="1"/>
  <c r="O494" i="1"/>
  <c r="F494" i="1" s="1"/>
  <c r="H494" i="1"/>
  <c r="J494" i="1" s="1"/>
  <c r="O493" i="1"/>
  <c r="F493" i="1" s="1"/>
  <c r="N493" i="1"/>
  <c r="H493" i="1"/>
  <c r="J493" i="1" s="1"/>
  <c r="O492" i="1"/>
  <c r="F492" i="1" s="1"/>
  <c r="H492" i="1"/>
  <c r="J492" i="1" s="1"/>
  <c r="O491" i="1"/>
  <c r="F491" i="1" s="1"/>
  <c r="H491" i="1"/>
  <c r="O490" i="1"/>
  <c r="F490" i="1" s="1"/>
  <c r="H490" i="1"/>
  <c r="J490" i="1" s="1"/>
  <c r="O489" i="1"/>
  <c r="F489" i="1" s="1"/>
  <c r="H489" i="1"/>
  <c r="O488" i="1"/>
  <c r="F488" i="1" s="1"/>
  <c r="H488" i="1"/>
  <c r="J488" i="1" s="1"/>
  <c r="O487" i="1"/>
  <c r="F487" i="1" s="1"/>
  <c r="H487" i="1"/>
  <c r="J487" i="1" s="1"/>
  <c r="N487" i="1" s="1"/>
  <c r="O486" i="1"/>
  <c r="F486" i="1" s="1"/>
  <c r="H486" i="1"/>
  <c r="J486" i="1" s="1"/>
  <c r="O485" i="1"/>
  <c r="F485" i="1" s="1"/>
  <c r="H485" i="1"/>
  <c r="J485" i="1" s="1"/>
  <c r="O484" i="1"/>
  <c r="F484" i="1" s="1"/>
  <c r="H484" i="1"/>
  <c r="J484" i="1" s="1"/>
  <c r="O483" i="1"/>
  <c r="F483" i="1" s="1"/>
  <c r="H483" i="1"/>
  <c r="J483" i="1" s="1"/>
  <c r="O482" i="1"/>
  <c r="H482" i="1"/>
  <c r="J482" i="1" s="1"/>
  <c r="F482" i="1"/>
  <c r="O481" i="1"/>
  <c r="F481" i="1" s="1"/>
  <c r="H481" i="1"/>
  <c r="O480" i="1"/>
  <c r="F480" i="1" s="1"/>
  <c r="H480" i="1"/>
  <c r="J480" i="1" s="1"/>
  <c r="O479" i="1"/>
  <c r="F479" i="1" s="1"/>
  <c r="H479" i="1"/>
  <c r="J479" i="1" s="1"/>
  <c r="O478" i="1"/>
  <c r="F478" i="1" s="1"/>
  <c r="H478" i="1"/>
  <c r="O477" i="1"/>
  <c r="F477" i="1" s="1"/>
  <c r="H477" i="1"/>
  <c r="J477" i="1" s="1"/>
  <c r="O476" i="1"/>
  <c r="F476" i="1" s="1"/>
  <c r="H476" i="1"/>
  <c r="J476" i="1" s="1"/>
  <c r="O475" i="1"/>
  <c r="F475" i="1" s="1"/>
  <c r="H475" i="1"/>
  <c r="J475" i="1" s="1"/>
  <c r="O474" i="1"/>
  <c r="F474" i="1" s="1"/>
  <c r="H474" i="1"/>
  <c r="J474" i="1" s="1"/>
  <c r="O473" i="1"/>
  <c r="F473" i="1" s="1"/>
  <c r="H473" i="1"/>
  <c r="J473" i="1" s="1"/>
  <c r="O472" i="1"/>
  <c r="F472" i="1" s="1"/>
  <c r="H472" i="1"/>
  <c r="J472" i="1" s="1"/>
  <c r="O471" i="1"/>
  <c r="H471" i="1"/>
  <c r="J471" i="1" s="1"/>
  <c r="O470" i="1"/>
  <c r="H470" i="1"/>
  <c r="J470" i="1" s="1"/>
  <c r="O469" i="1"/>
  <c r="H469" i="1"/>
  <c r="J469" i="1" s="1"/>
  <c r="O468" i="1"/>
  <c r="H468" i="1"/>
  <c r="J468" i="1" s="1"/>
  <c r="O467" i="1"/>
  <c r="H467" i="1"/>
  <c r="J467" i="1" s="1"/>
  <c r="O466" i="1"/>
  <c r="F466" i="1" s="1"/>
  <c r="H466" i="1"/>
  <c r="O465" i="1"/>
  <c r="H465" i="1"/>
  <c r="J465" i="1" s="1"/>
  <c r="O464" i="1"/>
  <c r="F464" i="1" s="1"/>
  <c r="H464" i="1"/>
  <c r="J464" i="1" s="1"/>
  <c r="O463" i="1"/>
  <c r="H463" i="1"/>
  <c r="J463" i="1" s="1"/>
  <c r="O462" i="1"/>
  <c r="H462" i="1"/>
  <c r="J462" i="1" s="1"/>
  <c r="H461" i="1"/>
  <c r="J461" i="1" s="1"/>
  <c r="F461" i="1"/>
  <c r="O460" i="1"/>
  <c r="F460" i="1" s="1"/>
  <c r="H460" i="1"/>
  <c r="O459" i="1"/>
  <c r="F459" i="1" s="1"/>
  <c r="H459" i="1"/>
  <c r="J459" i="1" s="1"/>
  <c r="O458" i="1"/>
  <c r="F458" i="1" s="1"/>
  <c r="H458" i="1"/>
  <c r="J458" i="1" s="1"/>
  <c r="O457" i="1"/>
  <c r="F457" i="1" s="1"/>
  <c r="H457" i="1"/>
  <c r="J457" i="1" s="1"/>
  <c r="O456" i="1"/>
  <c r="F456" i="1" s="1"/>
  <c r="H456" i="1"/>
  <c r="J456" i="1" s="1"/>
  <c r="O455" i="1"/>
  <c r="F455" i="1" s="1"/>
  <c r="H455" i="1"/>
  <c r="O454" i="1"/>
  <c r="F454" i="1" s="1"/>
  <c r="H454" i="1"/>
  <c r="J454" i="1" s="1"/>
  <c r="O453" i="1"/>
  <c r="F453" i="1" s="1"/>
  <c r="H453" i="1"/>
  <c r="J453" i="1" s="1"/>
  <c r="N453" i="1" s="1"/>
  <c r="O452" i="1"/>
  <c r="F452" i="1" s="1"/>
  <c r="H452" i="1"/>
  <c r="J452" i="1" s="1"/>
  <c r="O451" i="1"/>
  <c r="H451" i="1"/>
  <c r="J451" i="1" s="1"/>
  <c r="O450" i="1"/>
  <c r="H450" i="1"/>
  <c r="J450" i="1" s="1"/>
  <c r="O449" i="1"/>
  <c r="H449" i="1"/>
  <c r="J449" i="1" s="1"/>
  <c r="H448" i="1"/>
  <c r="J448" i="1" s="1"/>
  <c r="O447" i="1"/>
  <c r="H447" i="1"/>
  <c r="J447" i="1" s="1"/>
  <c r="O446" i="1"/>
  <c r="F446" i="1" s="1"/>
  <c r="H446" i="1"/>
  <c r="J446" i="1" s="1"/>
  <c r="N446" i="1" s="1"/>
  <c r="O445" i="1"/>
  <c r="F445" i="1" s="1"/>
  <c r="H445" i="1"/>
  <c r="J445" i="1" s="1"/>
  <c r="O444" i="1"/>
  <c r="J444" i="1"/>
  <c r="N444" i="1" s="1"/>
  <c r="H444" i="1"/>
  <c r="F444" i="1"/>
  <c r="O443" i="1"/>
  <c r="F443" i="1" s="1"/>
  <c r="H443" i="1"/>
  <c r="J443" i="1" s="1"/>
  <c r="O442" i="1"/>
  <c r="F442" i="1" s="1"/>
  <c r="H442" i="1"/>
  <c r="J442" i="1" s="1"/>
  <c r="N442" i="1" s="1"/>
  <c r="O441" i="1"/>
  <c r="F441" i="1" s="1"/>
  <c r="H441" i="1"/>
  <c r="J441" i="1" s="1"/>
  <c r="O440" i="1"/>
  <c r="F440" i="1" s="1"/>
  <c r="H440" i="1"/>
  <c r="J440" i="1" s="1"/>
  <c r="F439" i="1"/>
  <c r="H439" i="1"/>
  <c r="J439" i="1" s="1"/>
  <c r="O438" i="1"/>
  <c r="F438" i="1" s="1"/>
  <c r="H438" i="1"/>
  <c r="O437" i="1"/>
  <c r="F437" i="1" s="1"/>
  <c r="H437" i="1"/>
  <c r="J437" i="1" s="1"/>
  <c r="O436" i="1"/>
  <c r="F436" i="1" s="1"/>
  <c r="H436" i="1"/>
  <c r="O435" i="1"/>
  <c r="F435" i="1" s="1"/>
  <c r="H435" i="1"/>
  <c r="J435" i="1" s="1"/>
  <c r="O434" i="1"/>
  <c r="F434" i="1" s="1"/>
  <c r="H434" i="1"/>
  <c r="J434" i="1" s="1"/>
  <c r="O433" i="1"/>
  <c r="F433" i="1" s="1"/>
  <c r="H433" i="1"/>
  <c r="J433" i="1" s="1"/>
  <c r="O432" i="1"/>
  <c r="F432" i="1" s="1"/>
  <c r="H432" i="1"/>
  <c r="J432" i="1" s="1"/>
  <c r="O431" i="1"/>
  <c r="F431" i="1" s="1"/>
  <c r="H431" i="1"/>
  <c r="J431" i="1" s="1"/>
  <c r="F430" i="1"/>
  <c r="H430" i="1"/>
  <c r="J430" i="1" s="1"/>
  <c r="O429" i="1"/>
  <c r="F429" i="1" s="1"/>
  <c r="H429" i="1"/>
  <c r="J429" i="1" s="1"/>
  <c r="N429" i="1" s="1"/>
  <c r="O428" i="1"/>
  <c r="F428" i="1" s="1"/>
  <c r="H428" i="1"/>
  <c r="J428" i="1" s="1"/>
  <c r="O427" i="1"/>
  <c r="F427" i="1" s="1"/>
  <c r="H427" i="1"/>
  <c r="J427" i="1" s="1"/>
  <c r="O426" i="1"/>
  <c r="F426" i="1" s="1"/>
  <c r="H426" i="1"/>
  <c r="J426" i="1" s="1"/>
  <c r="O425" i="1"/>
  <c r="H425" i="1"/>
  <c r="J425" i="1" s="1"/>
  <c r="O424" i="1"/>
  <c r="H424" i="1"/>
  <c r="J424" i="1" s="1"/>
  <c r="O423" i="1"/>
  <c r="H423" i="1"/>
  <c r="J423" i="1" s="1"/>
  <c r="O422" i="1"/>
  <c r="H422" i="1"/>
  <c r="J422" i="1" s="1"/>
  <c r="O421" i="1"/>
  <c r="F421" i="1" s="1"/>
  <c r="H421" i="1"/>
  <c r="J421" i="1" s="1"/>
  <c r="N421" i="1" s="1"/>
  <c r="O420" i="1"/>
  <c r="F420" i="1" s="1"/>
  <c r="H420" i="1"/>
  <c r="J420" i="1" s="1"/>
  <c r="O419" i="1"/>
  <c r="F419" i="1" s="1"/>
  <c r="H419" i="1"/>
  <c r="J419" i="1" s="1"/>
  <c r="O418" i="1"/>
  <c r="F418" i="1" s="1"/>
  <c r="H418" i="1"/>
  <c r="J418" i="1" s="1"/>
  <c r="O417" i="1"/>
  <c r="F417" i="1" s="1"/>
  <c r="H417" i="1"/>
  <c r="J417" i="1" s="1"/>
  <c r="O416" i="1"/>
  <c r="F416" i="1" s="1"/>
  <c r="H416" i="1"/>
  <c r="J416" i="1" s="1"/>
  <c r="N416" i="1" s="1"/>
  <c r="O415" i="1"/>
  <c r="F415" i="1" s="1"/>
  <c r="H415" i="1"/>
  <c r="J415" i="1" s="1"/>
  <c r="O414" i="1"/>
  <c r="F414" i="1" s="1"/>
  <c r="H414" i="1"/>
  <c r="F413" i="1"/>
  <c r="H413" i="1"/>
  <c r="J413" i="1" s="1"/>
  <c r="O412" i="1"/>
  <c r="F412" i="1" s="1"/>
  <c r="H412" i="1"/>
  <c r="J412" i="1" s="1"/>
  <c r="O411" i="1"/>
  <c r="F411" i="1" s="1"/>
  <c r="H411" i="1"/>
  <c r="J411" i="1" s="1"/>
  <c r="O410" i="1"/>
  <c r="F410" i="1" s="1"/>
  <c r="H410" i="1"/>
  <c r="J410" i="1" s="1"/>
  <c r="N410" i="1" s="1"/>
  <c r="O409" i="1"/>
  <c r="F409" i="1" s="1"/>
  <c r="H409" i="1"/>
  <c r="J409" i="1" s="1"/>
  <c r="O408" i="1"/>
  <c r="F408" i="1" s="1"/>
  <c r="H408" i="1"/>
  <c r="J408" i="1" s="1"/>
  <c r="O407" i="1"/>
  <c r="F407" i="1" s="1"/>
  <c r="H407" i="1"/>
  <c r="J407" i="1" s="1"/>
  <c r="O406" i="1"/>
  <c r="F406" i="1" s="1"/>
  <c r="H406" i="1"/>
  <c r="J406" i="1" s="1"/>
  <c r="O405" i="1"/>
  <c r="F405" i="1" s="1"/>
  <c r="H405" i="1"/>
  <c r="J405" i="1" s="1"/>
  <c r="O404" i="1"/>
  <c r="F404" i="1" s="1"/>
  <c r="H404" i="1"/>
  <c r="J404" i="1" s="1"/>
  <c r="O403" i="1"/>
  <c r="F403" i="1" s="1"/>
  <c r="H403" i="1"/>
  <c r="J403" i="1" s="1"/>
  <c r="O402" i="1"/>
  <c r="F402" i="1" s="1"/>
  <c r="H402" i="1"/>
  <c r="O401" i="1"/>
  <c r="F401" i="1" s="1"/>
  <c r="H401" i="1"/>
  <c r="J401" i="1" s="1"/>
  <c r="O400" i="1"/>
  <c r="F400" i="1" s="1"/>
  <c r="H400" i="1"/>
  <c r="O399" i="1"/>
  <c r="F399" i="1" s="1"/>
  <c r="H399" i="1"/>
  <c r="J399" i="1" s="1"/>
  <c r="O398" i="1"/>
  <c r="H398" i="1"/>
  <c r="J398" i="1" s="1"/>
  <c r="O397" i="1"/>
  <c r="L397" i="1"/>
  <c r="H397" i="1"/>
  <c r="J397" i="1" s="1"/>
  <c r="N397" i="1" s="1"/>
  <c r="F397" i="1"/>
  <c r="O396" i="1"/>
  <c r="F396" i="1" s="1"/>
  <c r="H396" i="1"/>
  <c r="O395" i="1"/>
  <c r="F395" i="1" s="1"/>
  <c r="H395" i="1"/>
  <c r="J395" i="1" s="1"/>
  <c r="O394" i="1"/>
  <c r="F394" i="1" s="1"/>
  <c r="H394" i="1"/>
  <c r="J394" i="1" s="1"/>
  <c r="O393" i="1"/>
  <c r="F393" i="1" s="1"/>
  <c r="H393" i="1"/>
  <c r="J393" i="1" s="1"/>
  <c r="O392" i="1"/>
  <c r="F392" i="1" s="1"/>
  <c r="H392" i="1"/>
  <c r="O391" i="1"/>
  <c r="F391" i="1" s="1"/>
  <c r="H391" i="1"/>
  <c r="J391" i="1" s="1"/>
  <c r="O390" i="1"/>
  <c r="F390" i="1" s="1"/>
  <c r="N390" i="1"/>
  <c r="P390" i="1" s="1"/>
  <c r="H390" i="1"/>
  <c r="J390" i="1" s="1"/>
  <c r="O389" i="1"/>
  <c r="F389" i="1" s="1"/>
  <c r="H389" i="1"/>
  <c r="J389" i="1" s="1"/>
  <c r="O388" i="1"/>
  <c r="F388" i="1" s="1"/>
  <c r="H388" i="1"/>
  <c r="J388" i="1" s="1"/>
  <c r="O387" i="1"/>
  <c r="F387" i="1" s="1"/>
  <c r="H387" i="1"/>
  <c r="J387" i="1" s="1"/>
  <c r="O386" i="1"/>
  <c r="J386" i="1"/>
  <c r="H386" i="1"/>
  <c r="F386" i="1"/>
  <c r="O385" i="1"/>
  <c r="J385" i="1"/>
  <c r="H385" i="1"/>
  <c r="F385" i="1"/>
  <c r="O384" i="1"/>
  <c r="J384" i="1"/>
  <c r="H384" i="1"/>
  <c r="F384" i="1"/>
  <c r="O383" i="1"/>
  <c r="F383" i="1" s="1"/>
  <c r="H383" i="1"/>
  <c r="J383" i="1" s="1"/>
  <c r="O382" i="1"/>
  <c r="F382" i="1" s="1"/>
  <c r="H382" i="1"/>
  <c r="O381" i="1"/>
  <c r="F381" i="1" s="1"/>
  <c r="H381" i="1"/>
  <c r="J381" i="1" s="1"/>
  <c r="N381" i="1" s="1"/>
  <c r="O380" i="1"/>
  <c r="F380" i="1" s="1"/>
  <c r="H380" i="1"/>
  <c r="J380" i="1" s="1"/>
  <c r="O379" i="1"/>
  <c r="F379" i="1" s="1"/>
  <c r="H379" i="1"/>
  <c r="O378" i="1"/>
  <c r="F378" i="1" s="1"/>
  <c r="H378" i="1"/>
  <c r="J378" i="1" s="1"/>
  <c r="O377" i="1"/>
  <c r="F377" i="1" s="1"/>
  <c r="H377" i="1"/>
  <c r="J377" i="1" s="1"/>
  <c r="N377" i="1" s="1"/>
  <c r="O376" i="1"/>
  <c r="J376" i="1"/>
  <c r="H376" i="1"/>
  <c r="F376" i="1"/>
  <c r="O375" i="1"/>
  <c r="J375" i="1"/>
  <c r="N375" i="1" s="1"/>
  <c r="H375" i="1"/>
  <c r="F375" i="1"/>
  <c r="O374" i="1"/>
  <c r="F374" i="1" s="1"/>
  <c r="H374" i="1"/>
  <c r="J374" i="1" s="1"/>
  <c r="O373" i="1"/>
  <c r="H373" i="1"/>
  <c r="J373" i="1" s="1"/>
  <c r="O372" i="1"/>
  <c r="F372" i="1" s="1"/>
  <c r="H372" i="1"/>
  <c r="J372" i="1" s="1"/>
  <c r="N372" i="1" s="1"/>
  <c r="O371" i="1"/>
  <c r="J382" i="1" l="1"/>
  <c r="N382" i="1" s="1"/>
  <c r="J400" i="1"/>
  <c r="N400" i="1" s="1"/>
  <c r="J402" i="1"/>
  <c r="N402" i="1" s="1"/>
  <c r="J455" i="1"/>
  <c r="N455" i="1" s="1"/>
  <c r="N387" i="1"/>
  <c r="N457" i="1"/>
  <c r="P457" i="1" s="1"/>
  <c r="J481" i="1"/>
  <c r="N481" i="1" s="1"/>
  <c r="J489" i="1"/>
  <c r="N489" i="1" s="1"/>
  <c r="J491" i="1"/>
  <c r="N491" i="1" s="1"/>
  <c r="J502" i="1"/>
  <c r="J501" i="1"/>
  <c r="J500" i="1"/>
  <c r="N379" i="1"/>
  <c r="P379" i="1" s="1"/>
  <c r="J379" i="1"/>
  <c r="N392" i="1"/>
  <c r="J392" i="1"/>
  <c r="N396" i="1"/>
  <c r="P396" i="1" s="1"/>
  <c r="J396" i="1"/>
  <c r="N405" i="1"/>
  <c r="P405" i="1" s="1"/>
  <c r="J414" i="1"/>
  <c r="N414" i="1" s="1"/>
  <c r="J436" i="1"/>
  <c r="N436" i="1" s="1"/>
  <c r="J438" i="1"/>
  <c r="N438" i="1" s="1"/>
  <c r="J460" i="1"/>
  <c r="N460" i="1" s="1"/>
  <c r="J466" i="1"/>
  <c r="N466" i="1" s="1"/>
  <c r="J478" i="1"/>
  <c r="N478" i="1" s="1"/>
  <c r="N483" i="1"/>
  <c r="P483" i="1" s="1"/>
  <c r="Q493" i="1"/>
  <c r="Q387" i="1"/>
  <c r="Q392" i="1"/>
  <c r="N376" i="1"/>
  <c r="Q376" i="1" s="1"/>
  <c r="N391" i="1"/>
  <c r="P391" i="1" s="1"/>
  <c r="N409" i="1"/>
  <c r="P409" i="1" s="1"/>
  <c r="N431" i="1"/>
  <c r="P431" i="1" s="1"/>
  <c r="N445" i="1"/>
  <c r="Q445" i="1" s="1"/>
  <c r="N458" i="1"/>
  <c r="Q458" i="1" s="1"/>
  <c r="N484" i="1"/>
  <c r="P484" i="1" s="1"/>
  <c r="N494" i="1"/>
  <c r="P494" i="1" s="1"/>
  <c r="N380" i="1"/>
  <c r="P380" i="1" s="1"/>
  <c r="N401" i="1"/>
  <c r="P401" i="1" s="1"/>
  <c r="N417" i="1"/>
  <c r="P417" i="1" s="1"/>
  <c r="N440" i="1"/>
  <c r="Q440" i="1" s="1"/>
  <c r="N454" i="1"/>
  <c r="P454" i="1" s="1"/>
  <c r="N480" i="1"/>
  <c r="P480" i="1" s="1"/>
  <c r="N490" i="1"/>
  <c r="Q490" i="1" s="1"/>
  <c r="N502" i="1"/>
  <c r="P502" i="1" s="1"/>
  <c r="N501" i="1"/>
  <c r="Q501" i="1" s="1"/>
  <c r="P501" i="1" s="1"/>
  <c r="N373" i="1"/>
  <c r="Q373" i="1" s="1"/>
  <c r="N374" i="1"/>
  <c r="Q374" i="1" s="1"/>
  <c r="N378" i="1"/>
  <c r="P378" i="1" s="1"/>
  <c r="N383" i="1"/>
  <c r="P383" i="1" s="1"/>
  <c r="N393" i="1"/>
  <c r="Q393" i="1" s="1"/>
  <c r="N398" i="1"/>
  <c r="Q398" i="1" s="1"/>
  <c r="N399" i="1"/>
  <c r="P399" i="1" s="1"/>
  <c r="N403" i="1"/>
  <c r="P403" i="1" s="1"/>
  <c r="N415" i="1"/>
  <c r="P415" i="1" s="1"/>
  <c r="N422" i="1"/>
  <c r="Q422" i="1" s="1"/>
  <c r="N423" i="1"/>
  <c r="Q423" i="1" s="1"/>
  <c r="N424" i="1"/>
  <c r="P424" i="1" s="1"/>
  <c r="N425" i="1"/>
  <c r="P425" i="1" s="1"/>
  <c r="N426" i="1"/>
  <c r="P426" i="1" s="1"/>
  <c r="N437" i="1"/>
  <c r="P437" i="1" s="1"/>
  <c r="N443" i="1"/>
  <c r="P443" i="1" s="1"/>
  <c r="N447" i="1"/>
  <c r="Q447" i="1" s="1"/>
  <c r="N448" i="1"/>
  <c r="P448" i="1" s="1"/>
  <c r="N449" i="1"/>
  <c r="Q449" i="1" s="1"/>
  <c r="N450" i="1"/>
  <c r="Q450" i="1" s="1"/>
  <c r="N451" i="1"/>
  <c r="Q451" i="1" s="1"/>
  <c r="N452" i="1"/>
  <c r="P452" i="1" s="1"/>
  <c r="N456" i="1"/>
  <c r="Q456" i="1" s="1"/>
  <c r="N461" i="1"/>
  <c r="Q461" i="1" s="1"/>
  <c r="N462" i="1"/>
  <c r="P462" i="1" s="1"/>
  <c r="N463" i="1"/>
  <c r="Q463" i="1" s="1"/>
  <c r="N465" i="1"/>
  <c r="Q465" i="1" s="1"/>
  <c r="N467" i="1"/>
  <c r="P467" i="1" s="1"/>
  <c r="N468" i="1"/>
  <c r="Q468" i="1" s="1"/>
  <c r="N469" i="1"/>
  <c r="Q469" i="1" s="1"/>
  <c r="N470" i="1"/>
  <c r="Q470" i="1" s="1"/>
  <c r="N471" i="1"/>
  <c r="Q471" i="1" s="1"/>
  <c r="N472" i="1"/>
  <c r="P472" i="1" s="1"/>
  <c r="N482" i="1"/>
  <c r="P482" i="1" s="1"/>
  <c r="N485" i="1"/>
  <c r="Q485" i="1" s="1"/>
  <c r="N492" i="1"/>
  <c r="P492" i="1" s="1"/>
  <c r="F373" i="1"/>
  <c r="N388" i="1"/>
  <c r="Q388" i="1" s="1"/>
  <c r="N389" i="1"/>
  <c r="Q389" i="1" s="1"/>
  <c r="F398" i="1"/>
  <c r="N406" i="1"/>
  <c r="Q406" i="1" s="1"/>
  <c r="N407" i="1"/>
  <c r="Q407" i="1" s="1"/>
  <c r="N408" i="1"/>
  <c r="Q408" i="1" s="1"/>
  <c r="F422" i="1"/>
  <c r="F423" i="1"/>
  <c r="F424" i="1"/>
  <c r="F425" i="1"/>
  <c r="N430" i="1"/>
  <c r="Q430" i="1" s="1"/>
  <c r="N439" i="1"/>
  <c r="Q439" i="1" s="1"/>
  <c r="F447" i="1"/>
  <c r="F448" i="1"/>
  <c r="F449" i="1"/>
  <c r="F450" i="1"/>
  <c r="F451" i="1"/>
  <c r="F462" i="1"/>
  <c r="F463" i="1"/>
  <c r="F465" i="1"/>
  <c r="F467" i="1"/>
  <c r="F468" i="1"/>
  <c r="F469" i="1"/>
  <c r="F470" i="1"/>
  <c r="F471" i="1"/>
  <c r="N479" i="1"/>
  <c r="Q479" i="1" s="1"/>
  <c r="N500" i="1"/>
  <c r="P500" i="1" s="1"/>
  <c r="P377" i="1"/>
  <c r="Q377" i="1"/>
  <c r="Q375" i="1"/>
  <c r="P375" i="1"/>
  <c r="Q397" i="1"/>
  <c r="P397" i="1"/>
  <c r="Q416" i="1"/>
  <c r="P416" i="1"/>
  <c r="Q429" i="1"/>
  <c r="P429" i="1"/>
  <c r="Q444" i="1"/>
  <c r="P444" i="1"/>
  <c r="Q453" i="1"/>
  <c r="P453" i="1"/>
  <c r="P487" i="1"/>
  <c r="Q487" i="1"/>
  <c r="Q372" i="1"/>
  <c r="P372" i="1"/>
  <c r="P381" i="1"/>
  <c r="Q381" i="1"/>
  <c r="P410" i="1"/>
  <c r="Q410" i="1"/>
  <c r="Q421" i="1"/>
  <c r="P421" i="1"/>
  <c r="Q442" i="1"/>
  <c r="P442" i="1"/>
  <c r="Q446" i="1"/>
  <c r="P446" i="1"/>
  <c r="P376" i="1"/>
  <c r="N384" i="1"/>
  <c r="Q384" i="1" s="1"/>
  <c r="N385" i="1"/>
  <c r="Q385" i="1" s="1"/>
  <c r="N386" i="1"/>
  <c r="Q386" i="1" s="1"/>
  <c r="N394" i="1"/>
  <c r="Q394" i="1" s="1"/>
  <c r="N395" i="1"/>
  <c r="Q395" i="1" s="1"/>
  <c r="N404" i="1"/>
  <c r="P404" i="1" s="1"/>
  <c r="N411" i="1"/>
  <c r="Q411" i="1" s="1"/>
  <c r="N412" i="1"/>
  <c r="Q412" i="1" s="1"/>
  <c r="N413" i="1"/>
  <c r="Q413" i="1" s="1"/>
  <c r="N418" i="1"/>
  <c r="N419" i="1"/>
  <c r="N420" i="1"/>
  <c r="Q420" i="1" s="1"/>
  <c r="N427" i="1"/>
  <c r="N428" i="1"/>
  <c r="P428" i="1" s="1"/>
  <c r="N432" i="1"/>
  <c r="Q432" i="1" s="1"/>
  <c r="N433" i="1"/>
  <c r="Q433" i="1" s="1"/>
  <c r="N434" i="1"/>
  <c r="P434" i="1" s="1"/>
  <c r="N435" i="1"/>
  <c r="Q435" i="1" s="1"/>
  <c r="P439" i="1"/>
  <c r="N441" i="1"/>
  <c r="Q441" i="1" s="1"/>
  <c r="P449" i="1"/>
  <c r="P451" i="1"/>
  <c r="Q454" i="1"/>
  <c r="N459" i="1"/>
  <c r="Q459" i="1" s="1"/>
  <c r="N464" i="1"/>
  <c r="P465" i="1"/>
  <c r="N473" i="1"/>
  <c r="P473" i="1" s="1"/>
  <c r="N474" i="1"/>
  <c r="P474" i="1" s="1"/>
  <c r="N475" i="1"/>
  <c r="P475" i="1" s="1"/>
  <c r="N476" i="1"/>
  <c r="P476" i="1" s="1"/>
  <c r="N477" i="1"/>
  <c r="P477" i="1" s="1"/>
  <c r="N486" i="1"/>
  <c r="Q486" i="1" s="1"/>
  <c r="N488" i="1"/>
  <c r="P488" i="1" s="1"/>
  <c r="N495" i="1"/>
  <c r="P495" i="1" s="1"/>
  <c r="N496" i="1"/>
  <c r="P496" i="1" s="1"/>
  <c r="N497" i="1"/>
  <c r="P497" i="1" s="1"/>
  <c r="N498" i="1"/>
  <c r="P498" i="1" s="1"/>
  <c r="N499" i="1"/>
  <c r="Q499" i="1" s="1"/>
  <c r="Q484" i="1"/>
  <c r="Q380" i="1"/>
  <c r="P385" i="1"/>
  <c r="P406" i="1"/>
  <c r="P408" i="1"/>
  <c r="P461" i="1"/>
  <c r="P469" i="1"/>
  <c r="Q383" i="1"/>
  <c r="Q405" i="1"/>
  <c r="Q483" i="1"/>
  <c r="P493" i="1"/>
  <c r="P490" i="1"/>
  <c r="Q457" i="1"/>
  <c r="Q396" i="1"/>
  <c r="P392" i="1"/>
  <c r="Q390" i="1"/>
  <c r="P387" i="1"/>
  <c r="H371" i="1"/>
  <c r="F371" i="1"/>
  <c r="H370" i="1"/>
  <c r="F370" i="1"/>
  <c r="O369" i="1"/>
  <c r="F369" i="1" s="1"/>
  <c r="H369" i="1"/>
  <c r="O368" i="1"/>
  <c r="F368" i="1" s="1"/>
  <c r="H368" i="1"/>
  <c r="J368" i="1" s="1"/>
  <c r="O367" i="1"/>
  <c r="F367" i="1" s="1"/>
  <c r="H367" i="1"/>
  <c r="O366" i="1"/>
  <c r="F366" i="1" s="1"/>
  <c r="H366" i="1"/>
  <c r="O365" i="1"/>
  <c r="H365" i="1"/>
  <c r="F365" i="1"/>
  <c r="O364" i="1"/>
  <c r="F364" i="1" s="1"/>
  <c r="H364" i="1"/>
  <c r="O363" i="1"/>
  <c r="F363" i="1" s="1"/>
  <c r="H363" i="1"/>
  <c r="O362" i="1"/>
  <c r="F362" i="1" s="1"/>
  <c r="H362" i="1"/>
  <c r="O361" i="1"/>
  <c r="F361" i="1" s="1"/>
  <c r="H361" i="1"/>
  <c r="H360" i="1"/>
  <c r="F360" i="1"/>
  <c r="O359" i="1"/>
  <c r="F359" i="1" s="1"/>
  <c r="H359" i="1"/>
  <c r="O358" i="1"/>
  <c r="F358" i="1" s="1"/>
  <c r="H358" i="1"/>
  <c r="O357" i="1"/>
  <c r="F357" i="1" s="1"/>
  <c r="H357" i="1"/>
  <c r="O356" i="1"/>
  <c r="F356" i="1" s="1"/>
  <c r="H356" i="1"/>
  <c r="J356" i="1" s="1"/>
  <c r="N356" i="1" s="1"/>
  <c r="Q356" i="1" s="1"/>
  <c r="O355" i="1"/>
  <c r="F355" i="1" s="1"/>
  <c r="H355" i="1"/>
  <c r="O354" i="1"/>
  <c r="F354" i="1" s="1"/>
  <c r="H354" i="1"/>
  <c r="O353" i="1"/>
  <c r="F353" i="1" s="1"/>
  <c r="H353" i="1"/>
  <c r="O352" i="1"/>
  <c r="F352" i="1" s="1"/>
  <c r="H352" i="1"/>
  <c r="O351" i="1"/>
  <c r="H351" i="1"/>
  <c r="F351" i="1"/>
  <c r="O350" i="1"/>
  <c r="F350" i="1" s="1"/>
  <c r="H350" i="1"/>
  <c r="O349" i="1"/>
  <c r="F349" i="1" s="1"/>
  <c r="H349" i="1"/>
  <c r="O348" i="1"/>
  <c r="F348" i="1" s="1"/>
  <c r="H348" i="1"/>
  <c r="O347" i="1"/>
  <c r="F347" i="1" s="1"/>
  <c r="H347" i="1"/>
  <c r="O346" i="1"/>
  <c r="F346" i="1" s="1"/>
  <c r="H346" i="1"/>
  <c r="O345" i="1"/>
  <c r="F345" i="1" s="1"/>
  <c r="H345" i="1"/>
  <c r="O344" i="1"/>
  <c r="F344" i="1" s="1"/>
  <c r="H344" i="1"/>
  <c r="J344" i="1" s="1"/>
  <c r="O343" i="1"/>
  <c r="F343" i="1" s="1"/>
  <c r="H343" i="1"/>
  <c r="O342" i="1"/>
  <c r="F342" i="1" s="1"/>
  <c r="H342" i="1"/>
  <c r="O341" i="1"/>
  <c r="H341" i="1"/>
  <c r="F341" i="1"/>
  <c r="O340" i="1"/>
  <c r="F340" i="1" s="1"/>
  <c r="H340" i="1"/>
  <c r="O339" i="1"/>
  <c r="F339" i="1" s="1"/>
  <c r="H339" i="1"/>
  <c r="O338" i="1"/>
  <c r="H338" i="1"/>
  <c r="J338" i="1" s="1"/>
  <c r="O337" i="1"/>
  <c r="H337" i="1"/>
  <c r="J337" i="1" s="1"/>
  <c r="O336" i="1"/>
  <c r="F336" i="1" s="1"/>
  <c r="H336" i="1"/>
  <c r="J336" i="1" s="1"/>
  <c r="N336" i="1" s="1"/>
  <c r="O335" i="1"/>
  <c r="J335" i="1"/>
  <c r="H335" i="1"/>
  <c r="F335" i="1"/>
  <c r="O334" i="1"/>
  <c r="J334" i="1"/>
  <c r="N334" i="1" s="1"/>
  <c r="H334" i="1"/>
  <c r="F334" i="1"/>
  <c r="O333" i="1"/>
  <c r="F333" i="1" s="1"/>
  <c r="H333" i="1"/>
  <c r="O332" i="1"/>
  <c r="F332" i="1" s="1"/>
  <c r="H332" i="1"/>
  <c r="J332" i="1" s="1"/>
  <c r="N332" i="1" s="1"/>
  <c r="O331" i="1"/>
  <c r="F331" i="1" s="1"/>
  <c r="H331" i="1"/>
  <c r="O330" i="1"/>
  <c r="F330" i="1" s="1"/>
  <c r="H330" i="1"/>
  <c r="O329" i="1"/>
  <c r="F329" i="1" s="1"/>
  <c r="H329" i="1"/>
  <c r="J329" i="1" s="1"/>
  <c r="O328" i="1"/>
  <c r="F328" i="1" s="1"/>
  <c r="H328" i="1"/>
  <c r="O327" i="1"/>
  <c r="F327" i="1" s="1"/>
  <c r="H327" i="1"/>
  <c r="O326" i="1"/>
  <c r="F326" i="1" s="1"/>
  <c r="H326" i="1"/>
  <c r="O325" i="1"/>
  <c r="F325" i="1" s="1"/>
  <c r="H325" i="1"/>
  <c r="O324" i="1"/>
  <c r="F324" i="1" s="1"/>
  <c r="H324" i="1"/>
  <c r="O323" i="1"/>
  <c r="F323" i="1" s="1"/>
  <c r="H323" i="1"/>
  <c r="O322" i="1"/>
  <c r="F322" i="1" s="1"/>
  <c r="H322" i="1"/>
  <c r="O321" i="1"/>
  <c r="F321" i="1" s="1"/>
  <c r="H321" i="1"/>
  <c r="O320" i="1"/>
  <c r="F320" i="1" s="1"/>
  <c r="H320" i="1"/>
  <c r="O319" i="1"/>
  <c r="F319" i="1" s="1"/>
  <c r="H319" i="1"/>
  <c r="O318" i="1"/>
  <c r="F318" i="1" s="1"/>
  <c r="H318" i="1"/>
  <c r="O317" i="1"/>
  <c r="F317" i="1" s="1"/>
  <c r="H317" i="1"/>
  <c r="O316" i="1"/>
  <c r="H316" i="1"/>
  <c r="F316" i="1"/>
  <c r="O315" i="1"/>
  <c r="P414" i="1" l="1"/>
  <c r="Q414" i="1"/>
  <c r="P460" i="1"/>
  <c r="Q460" i="1"/>
  <c r="P481" i="1"/>
  <c r="Q481" i="1"/>
  <c r="P402" i="1"/>
  <c r="Q402" i="1"/>
  <c r="P466" i="1"/>
  <c r="Q466" i="1"/>
  <c r="P455" i="1"/>
  <c r="Q455" i="1"/>
  <c r="P438" i="1"/>
  <c r="Q438" i="1"/>
  <c r="P400" i="1"/>
  <c r="Q400" i="1"/>
  <c r="P489" i="1"/>
  <c r="Q489" i="1"/>
  <c r="Q478" i="1"/>
  <c r="P478" i="1"/>
  <c r="P436" i="1"/>
  <c r="Q436" i="1"/>
  <c r="P491" i="1"/>
  <c r="Q491" i="1"/>
  <c r="Q382" i="1"/>
  <c r="P382" i="1"/>
  <c r="J348" i="1"/>
  <c r="J324" i="1"/>
  <c r="J358" i="1"/>
  <c r="Q467" i="1"/>
  <c r="J339" i="1"/>
  <c r="J343" i="1"/>
  <c r="J371" i="1"/>
  <c r="P463" i="1"/>
  <c r="J321" i="1"/>
  <c r="J354" i="1"/>
  <c r="Q379" i="1"/>
  <c r="Q497" i="1"/>
  <c r="P422" i="1"/>
  <c r="Q417" i="1"/>
  <c r="Q492" i="1"/>
  <c r="P459" i="1"/>
  <c r="Q431" i="1"/>
  <c r="P499" i="1"/>
  <c r="Q476" i="1"/>
  <c r="P407" i="1"/>
  <c r="Q452" i="1"/>
  <c r="P450" i="1"/>
  <c r="Q443" i="1"/>
  <c r="P398" i="1"/>
  <c r="Q500" i="1"/>
  <c r="Q425" i="1"/>
  <c r="P440" i="1"/>
  <c r="Q473" i="1"/>
  <c r="Q409" i="1"/>
  <c r="Q401" i="1"/>
  <c r="Q494" i="1"/>
  <c r="Q391" i="1"/>
  <c r="P420" i="1"/>
  <c r="P445" i="1"/>
  <c r="P456" i="1"/>
  <c r="Q477" i="1"/>
  <c r="Q480" i="1"/>
  <c r="Q488" i="1"/>
  <c r="Q437" i="1"/>
  <c r="P468" i="1"/>
  <c r="Q424" i="1"/>
  <c r="Q426" i="1"/>
  <c r="P374" i="1"/>
  <c r="P388" i="1"/>
  <c r="P430" i="1"/>
  <c r="P433" i="1"/>
  <c r="P458" i="1"/>
  <c r="Q332" i="1"/>
  <c r="N335" i="1"/>
  <c r="P335" i="1" s="1"/>
  <c r="Q403" i="1"/>
  <c r="Q428" i="1"/>
  <c r="P435" i="1"/>
  <c r="P441" i="1"/>
  <c r="Q448" i="1"/>
  <c r="P471" i="1"/>
  <c r="Q482" i="1"/>
  <c r="N329" i="1"/>
  <c r="P329" i="1" s="1"/>
  <c r="N337" i="1"/>
  <c r="Q337" i="1" s="1"/>
  <c r="N338" i="1"/>
  <c r="Q338" i="1" s="1"/>
  <c r="F337" i="1"/>
  <c r="F338" i="1"/>
  <c r="P393" i="1"/>
  <c r="Q399" i="1"/>
  <c r="P432" i="1"/>
  <c r="Q434" i="1"/>
  <c r="Q462" i="1"/>
  <c r="P470" i="1"/>
  <c r="Q472" i="1"/>
  <c r="Q474" i="1"/>
  <c r="P486" i="1"/>
  <c r="Q378" i="1"/>
  <c r="P479" i="1"/>
  <c r="P485" i="1"/>
  <c r="P411" i="1"/>
  <c r="P386" i="1"/>
  <c r="P384" i="1"/>
  <c r="P447" i="1"/>
  <c r="P423" i="1"/>
  <c r="Q415" i="1"/>
  <c r="P389" i="1"/>
  <c r="P373" i="1"/>
  <c r="P394" i="1"/>
  <c r="P413" i="1"/>
  <c r="Q495" i="1"/>
  <c r="P395" i="1"/>
  <c r="Q404" i="1"/>
  <c r="P412" i="1"/>
  <c r="Q496" i="1"/>
  <c r="Q498" i="1"/>
  <c r="Q334" i="1"/>
  <c r="P334" i="1"/>
  <c r="Q336" i="1"/>
  <c r="P336" i="1"/>
  <c r="P427" i="1"/>
  <c r="Q427" i="1"/>
  <c r="P419" i="1"/>
  <c r="Q419" i="1"/>
  <c r="P337" i="1"/>
  <c r="N344" i="1"/>
  <c r="N368" i="1"/>
  <c r="Q475" i="1"/>
  <c r="Q464" i="1"/>
  <c r="P464" i="1"/>
  <c r="P418" i="1"/>
  <c r="Q418" i="1"/>
  <c r="P332" i="1"/>
  <c r="P356" i="1"/>
  <c r="H315" i="1"/>
  <c r="F315" i="1"/>
  <c r="O314" i="1"/>
  <c r="F314" i="1" s="1"/>
  <c r="H314" i="1"/>
  <c r="J314" i="1" s="1"/>
  <c r="O313" i="1"/>
  <c r="H313" i="1"/>
  <c r="J313" i="1" s="1"/>
  <c r="O312" i="1"/>
  <c r="F312" i="1" s="1"/>
  <c r="H312" i="1"/>
  <c r="J312" i="1" s="1"/>
  <c r="N312" i="1" s="1"/>
  <c r="O311" i="1"/>
  <c r="H311" i="1"/>
  <c r="F311" i="1"/>
  <c r="O310" i="1"/>
  <c r="F310" i="1" s="1"/>
  <c r="H310" i="1"/>
  <c r="J310" i="1" s="1"/>
  <c r="N310" i="1" s="1"/>
  <c r="O309" i="1"/>
  <c r="F309" i="1" s="1"/>
  <c r="H309" i="1"/>
  <c r="J309" i="1" s="1"/>
  <c r="O308" i="1"/>
  <c r="F308" i="1" s="1"/>
  <c r="H308" i="1"/>
  <c r="O307" i="1"/>
  <c r="F307" i="1" s="1"/>
  <c r="H307" i="1"/>
  <c r="J307" i="1" s="1"/>
  <c r="S262" i="1"/>
  <c r="J318" i="1" s="1"/>
  <c r="J366" i="1" l="1"/>
  <c r="J352" i="1"/>
  <c r="J319" i="1"/>
  <c r="N319" i="1" s="1"/>
  <c r="J350" i="1"/>
  <c r="J340" i="1"/>
  <c r="J331" i="1"/>
  <c r="J355" i="1"/>
  <c r="N355" i="1" s="1"/>
  <c r="J322" i="1"/>
  <c r="J333" i="1"/>
  <c r="J308" i="1"/>
  <c r="J359" i="1"/>
  <c r="N359" i="1" s="1"/>
  <c r="J325" i="1"/>
  <c r="J317" i="1"/>
  <c r="J347" i="1"/>
  <c r="J330" i="1"/>
  <c r="N330" i="1" s="1"/>
  <c r="J351" i="1"/>
  <c r="J320" i="1"/>
  <c r="J315" i="1"/>
  <c r="J357" i="1"/>
  <c r="J323" i="1"/>
  <c r="J345" i="1"/>
  <c r="J346" i="1"/>
  <c r="J367" i="1"/>
  <c r="N367" i="1" s="1"/>
  <c r="P367" i="1" s="1"/>
  <c r="J326" i="1"/>
  <c r="Q329" i="1"/>
  <c r="P338" i="1"/>
  <c r="Q335" i="1"/>
  <c r="N307" i="1"/>
  <c r="N371" i="1"/>
  <c r="N366" i="1"/>
  <c r="J365" i="1"/>
  <c r="N365" i="1" s="1"/>
  <c r="J364" i="1"/>
  <c r="N364" i="1" s="1"/>
  <c r="J363" i="1"/>
  <c r="N363" i="1" s="1"/>
  <c r="P363" i="1" s="1"/>
  <c r="J360" i="1"/>
  <c r="N360" i="1" s="1"/>
  <c r="N357" i="1"/>
  <c r="N351" i="1"/>
  <c r="N350" i="1"/>
  <c r="J349" i="1"/>
  <c r="N349" i="1" s="1"/>
  <c r="N346" i="1"/>
  <c r="N345" i="1"/>
  <c r="N343" i="1"/>
  <c r="P343" i="1" s="1"/>
  <c r="J342" i="1"/>
  <c r="N342" i="1" s="1"/>
  <c r="Q342" i="1" s="1"/>
  <c r="J341" i="1"/>
  <c r="N341" i="1" s="1"/>
  <c r="Q341" i="1" s="1"/>
  <c r="N340" i="1"/>
  <c r="P340" i="1" s="1"/>
  <c r="N331" i="1"/>
  <c r="N326" i="1"/>
  <c r="N325" i="1"/>
  <c r="N322" i="1"/>
  <c r="N321" i="1"/>
  <c r="N318" i="1"/>
  <c r="N317" i="1"/>
  <c r="J316" i="1"/>
  <c r="N316" i="1" s="1"/>
  <c r="Q316" i="1" s="1"/>
  <c r="N308" i="1"/>
  <c r="Q308" i="1" s="1"/>
  <c r="N309" i="1"/>
  <c r="P309" i="1" s="1"/>
  <c r="J311" i="1"/>
  <c r="N311" i="1" s="1"/>
  <c r="N313" i="1"/>
  <c r="Q313" i="1" s="1"/>
  <c r="N314" i="1"/>
  <c r="N315" i="1"/>
  <c r="P315" i="1" s="1"/>
  <c r="J369" i="1"/>
  <c r="N369" i="1" s="1"/>
  <c r="Q369" i="1" s="1"/>
  <c r="N358" i="1"/>
  <c r="N354" i="1"/>
  <c r="N352" i="1"/>
  <c r="P352" i="1" s="1"/>
  <c r="N347" i="1"/>
  <c r="N339" i="1"/>
  <c r="N323" i="1"/>
  <c r="N320" i="1"/>
  <c r="J361" i="1"/>
  <c r="N361" i="1" s="1"/>
  <c r="N333" i="1"/>
  <c r="J327" i="1"/>
  <c r="N327" i="1" s="1"/>
  <c r="P327" i="1" s="1"/>
  <c r="N324" i="1"/>
  <c r="F313" i="1"/>
  <c r="J362" i="1"/>
  <c r="N362" i="1" s="1"/>
  <c r="J353" i="1"/>
  <c r="N353" i="1" s="1"/>
  <c r="J370" i="1"/>
  <c r="N370" i="1" s="1"/>
  <c r="N348" i="1"/>
  <c r="J328" i="1"/>
  <c r="N328" i="1" s="1"/>
  <c r="P328" i="1" s="1"/>
  <c r="Q340" i="1"/>
  <c r="P310" i="1"/>
  <c r="Q310" i="1"/>
  <c r="Q363" i="1"/>
  <c r="P344" i="1"/>
  <c r="Q344" i="1"/>
  <c r="P342" i="1"/>
  <c r="P316" i="1"/>
  <c r="Q343" i="1"/>
  <c r="P368" i="1"/>
  <c r="Q368" i="1"/>
  <c r="Q502" i="1"/>
  <c r="P307" i="1"/>
  <c r="Q307" i="1"/>
  <c r="P369" i="1" l="1"/>
  <c r="P341" i="1"/>
  <c r="O510" i="1"/>
  <c r="N13" i="1" s="1"/>
  <c r="Q327" i="1"/>
  <c r="P313" i="1"/>
  <c r="N506" i="1"/>
  <c r="Q315" i="1"/>
  <c r="Q352" i="1"/>
  <c r="Q328" i="1"/>
  <c r="Q311" i="1"/>
  <c r="P311" i="1"/>
  <c r="P359" i="1"/>
  <c r="Q359" i="1"/>
  <c r="P353" i="1"/>
  <c r="Q353" i="1"/>
  <c r="P324" i="1"/>
  <c r="Q324" i="1"/>
  <c r="Q333" i="1"/>
  <c r="P333" i="1"/>
  <c r="P361" i="1"/>
  <c r="Q361" i="1"/>
  <c r="Q323" i="1"/>
  <c r="P323" i="1"/>
  <c r="P347" i="1"/>
  <c r="Q347" i="1"/>
  <c r="Q354" i="1"/>
  <c r="P354" i="1"/>
  <c r="Q317" i="1"/>
  <c r="P317" i="1"/>
  <c r="Q321" i="1"/>
  <c r="P321" i="1"/>
  <c r="Q325" i="1"/>
  <c r="P325" i="1"/>
  <c r="Q330" i="1"/>
  <c r="P330" i="1"/>
  <c r="Q345" i="1"/>
  <c r="P345" i="1"/>
  <c r="Q349" i="1"/>
  <c r="P349" i="1"/>
  <c r="P351" i="1"/>
  <c r="Q351" i="1"/>
  <c r="P360" i="1"/>
  <c r="Q360" i="1"/>
  <c r="Q364" i="1"/>
  <c r="P364" i="1"/>
  <c r="Q366" i="1"/>
  <c r="P366" i="1"/>
  <c r="Q319" i="1"/>
  <c r="P319" i="1"/>
  <c r="Q348" i="1"/>
  <c r="P348" i="1"/>
  <c r="P370" i="1"/>
  <c r="Q370" i="1"/>
  <c r="P362" i="1"/>
  <c r="Q362" i="1"/>
  <c r="P355" i="1"/>
  <c r="Q355" i="1"/>
  <c r="P320" i="1"/>
  <c r="Q320" i="1"/>
  <c r="P339" i="1"/>
  <c r="Q339" i="1"/>
  <c r="P358" i="1"/>
  <c r="Q358" i="1"/>
  <c r="Q318" i="1"/>
  <c r="P318" i="1"/>
  <c r="P322" i="1"/>
  <c r="Q322" i="1"/>
  <c r="P326" i="1"/>
  <c r="Q326" i="1"/>
  <c r="P331" i="1"/>
  <c r="Q331" i="1"/>
  <c r="P346" i="1"/>
  <c r="Q346" i="1"/>
  <c r="Q350" i="1"/>
  <c r="P350" i="1"/>
  <c r="P357" i="1"/>
  <c r="Q357" i="1"/>
  <c r="Q365" i="1"/>
  <c r="P365" i="1"/>
  <c r="Q371" i="1"/>
  <c r="P371" i="1"/>
  <c r="P308" i="1"/>
  <c r="Q367" i="1"/>
  <c r="Q309" i="1"/>
  <c r="N12" i="1"/>
  <c r="O212" i="1"/>
  <c r="F212" i="1" s="1"/>
  <c r="H212" i="1"/>
  <c r="N212" i="1" s="1"/>
  <c r="O211" i="1"/>
  <c r="H211" i="1"/>
  <c r="F211" i="1" l="1"/>
  <c r="N211" i="1"/>
  <c r="P211" i="1" s="1"/>
  <c r="Q212" i="1"/>
  <c r="P212" i="1" s="1"/>
  <c r="O210" i="1"/>
  <c r="H210" i="1"/>
  <c r="O209" i="1"/>
  <c r="H209" i="1"/>
  <c r="O208" i="1"/>
  <c r="H208" i="1"/>
  <c r="O207" i="1"/>
  <c r="H207" i="1"/>
  <c r="O206" i="1"/>
  <c r="H206" i="1"/>
  <c r="O205" i="1"/>
  <c r="H205" i="1"/>
  <c r="O204" i="1"/>
  <c r="H204" i="1"/>
  <c r="O203" i="1"/>
  <c r="H203" i="1"/>
  <c r="O202" i="1"/>
  <c r="H202" i="1"/>
  <c r="O201" i="1"/>
  <c r="H201" i="1"/>
  <c r="O200" i="1"/>
  <c r="H200" i="1"/>
  <c r="O199" i="1"/>
  <c r="H199" i="1"/>
  <c r="O198" i="1"/>
  <c r="H198" i="1"/>
  <c r="J197" i="1"/>
  <c r="H197" i="1"/>
  <c r="F197" i="1" s="1"/>
  <c r="O196" i="1"/>
  <c r="N196" i="1" s="1"/>
  <c r="Q196" i="1" s="1"/>
  <c r="P196" i="1" s="1"/>
  <c r="H196" i="1"/>
  <c r="O195" i="1"/>
  <c r="N195" i="1"/>
  <c r="P195" i="1" s="1"/>
  <c r="H195" i="1"/>
  <c r="O194" i="1"/>
  <c r="N194" i="1"/>
  <c r="Q194" i="1" s="1"/>
  <c r="H194" i="1"/>
  <c r="F194" i="1" s="1"/>
  <c r="O193" i="1"/>
  <c r="F193" i="1" s="1"/>
  <c r="N193" i="1"/>
  <c r="P193" i="1" s="1"/>
  <c r="H193" i="1"/>
  <c r="O192" i="1"/>
  <c r="J192" i="1"/>
  <c r="N192" i="1" s="1"/>
  <c r="P192" i="1" s="1"/>
  <c r="H192" i="1"/>
  <c r="O191" i="1"/>
  <c r="H191" i="1"/>
  <c r="J191" i="1" s="1"/>
  <c r="N191" i="1" s="1"/>
  <c r="P191" i="1" s="1"/>
  <c r="O190" i="1"/>
  <c r="N190" i="1"/>
  <c r="H190" i="1"/>
  <c r="H189" i="1"/>
  <c r="N189" i="1" s="1"/>
  <c r="O188" i="1"/>
  <c r="H188" i="1"/>
  <c r="J188" i="1" s="1"/>
  <c r="O187" i="1"/>
  <c r="H187" i="1"/>
  <c r="O186" i="1"/>
  <c r="H186" i="1"/>
  <c r="O185" i="1"/>
  <c r="H185" i="1"/>
  <c r="O184" i="1"/>
  <c r="H184" i="1"/>
  <c r="O183" i="1"/>
  <c r="H183" i="1"/>
  <c r="O182" i="1"/>
  <c r="H182" i="1"/>
  <c r="O181" i="1"/>
  <c r="H181" i="1"/>
  <c r="O180" i="1"/>
  <c r="H180" i="1"/>
  <c r="O179" i="1"/>
  <c r="H179" i="1"/>
  <c r="O178" i="1"/>
  <c r="H178" i="1"/>
  <c r="O177" i="1"/>
  <c r="H177" i="1"/>
  <c r="N183" i="1" l="1"/>
  <c r="Q183" i="1" s="1"/>
  <c r="N185" i="1"/>
  <c r="P185" i="1" s="1"/>
  <c r="N187" i="1"/>
  <c r="Q187" i="1" s="1"/>
  <c r="N184" i="1"/>
  <c r="Q184" i="1" s="1"/>
  <c r="N186" i="1"/>
  <c r="P186" i="1" s="1"/>
  <c r="F189" i="1"/>
  <c r="F177" i="1"/>
  <c r="F178" i="1"/>
  <c r="F179" i="1"/>
  <c r="F180" i="1"/>
  <c r="F181" i="1"/>
  <c r="F182" i="1"/>
  <c r="P18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0" i="1"/>
  <c r="F195" i="1"/>
  <c r="N177" i="1"/>
  <c r="P177" i="1" s="1"/>
  <c r="N178" i="1"/>
  <c r="P178" i="1" s="1"/>
  <c r="N179" i="1"/>
  <c r="Q179" i="1" s="1"/>
  <c r="N180" i="1"/>
  <c r="P180" i="1" s="1"/>
  <c r="N181" i="1"/>
  <c r="P181" i="1" s="1"/>
  <c r="F183" i="1"/>
  <c r="F184" i="1"/>
  <c r="F185" i="1"/>
  <c r="F186" i="1"/>
  <c r="F187" i="1"/>
  <c r="F188" i="1"/>
  <c r="N188" i="1"/>
  <c r="Q188" i="1" s="1"/>
  <c r="Q190" i="1"/>
  <c r="F191" i="1"/>
  <c r="F192" i="1"/>
  <c r="F196" i="1"/>
  <c r="N197" i="1"/>
  <c r="P197" i="1" s="1"/>
  <c r="N198" i="1"/>
  <c r="Q198" i="1" s="1"/>
  <c r="P198" i="1" s="1"/>
  <c r="J199" i="1"/>
  <c r="N199" i="1" s="1"/>
  <c r="J200" i="1"/>
  <c r="N200" i="1" s="1"/>
  <c r="J201" i="1"/>
  <c r="N201" i="1" s="1"/>
  <c r="Q201" i="1" s="1"/>
  <c r="P201" i="1" s="1"/>
  <c r="J202" i="1"/>
  <c r="N202" i="1" s="1"/>
  <c r="J203" i="1"/>
  <c r="N203" i="1" s="1"/>
  <c r="J204" i="1"/>
  <c r="N204" i="1" s="1"/>
  <c r="N205" i="1"/>
  <c r="Q205" i="1" s="1"/>
  <c r="P205" i="1" s="1"/>
  <c r="N206" i="1"/>
  <c r="Q206" i="1" s="1"/>
  <c r="P206" i="1" s="1"/>
  <c r="N207" i="1"/>
  <c r="Q207" i="1" s="1"/>
  <c r="P207" i="1" s="1"/>
  <c r="N208" i="1"/>
  <c r="Q208" i="1" s="1"/>
  <c r="P208" i="1" s="1"/>
  <c r="N209" i="1"/>
  <c r="P209" i="1" s="1"/>
  <c r="N210" i="1"/>
  <c r="Q211" i="1"/>
  <c r="Q185" i="1"/>
  <c r="Q186" i="1"/>
  <c r="P194" i="1"/>
  <c r="Q195" i="1"/>
  <c r="Q197" i="1"/>
  <c r="Q191" i="1"/>
  <c r="Q193" i="1"/>
  <c r="Q192" i="1"/>
  <c r="Q181" i="1"/>
  <c r="P183" i="1"/>
  <c r="P187" i="1"/>
  <c r="Q189" i="1"/>
  <c r="P190" i="1"/>
  <c r="O176" i="1"/>
  <c r="H176" i="1"/>
  <c r="O175" i="1"/>
  <c r="N175" i="1" s="1"/>
  <c r="Q175" i="1" s="1"/>
  <c r="H175" i="1"/>
  <c r="O174" i="1"/>
  <c r="N174" i="1" s="1"/>
  <c r="Q174" i="1" s="1"/>
  <c r="H174" i="1"/>
  <c r="Q178" i="1" l="1"/>
  <c r="Q209" i="1"/>
  <c r="P184" i="1"/>
  <c r="P179" i="1"/>
  <c r="Q177" i="1"/>
  <c r="P188" i="1"/>
  <c r="F176" i="1"/>
  <c r="Q180" i="1"/>
  <c r="Q204" i="1"/>
  <c r="P204" i="1"/>
  <c r="Q200" i="1"/>
  <c r="P200" i="1"/>
  <c r="Q203" i="1"/>
  <c r="P203" i="1"/>
  <c r="Q199" i="1"/>
  <c r="P199" i="1"/>
  <c r="Q202" i="1"/>
  <c r="P202" i="1"/>
  <c r="F174" i="1"/>
  <c r="F175" i="1"/>
  <c r="P175" i="1"/>
  <c r="Q210" i="1"/>
  <c r="P210" i="1"/>
  <c r="P174" i="1"/>
  <c r="O173" i="1"/>
  <c r="H173" i="1"/>
  <c r="F173" i="1" s="1"/>
  <c r="O172" i="1"/>
  <c r="H172" i="1"/>
  <c r="H171" i="1"/>
  <c r="F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N164" i="1"/>
  <c r="P164" i="1" s="1"/>
  <c r="H164" i="1"/>
  <c r="O163" i="1"/>
  <c r="N163" i="1"/>
  <c r="H163" i="1"/>
  <c r="F163" i="1" s="1"/>
  <c r="O162" i="1"/>
  <c r="N162" i="1"/>
  <c r="P162" i="1" s="1"/>
  <c r="H162" i="1"/>
  <c r="F162" i="1" s="1"/>
  <c r="O161" i="1"/>
  <c r="H161" i="1"/>
  <c r="O160" i="1"/>
  <c r="N160" i="1" s="1"/>
  <c r="Q160" i="1" s="1"/>
  <c r="P160" i="1" s="1"/>
  <c r="H160" i="1"/>
  <c r="O159" i="1"/>
  <c r="H159" i="1"/>
  <c r="F158" i="1"/>
  <c r="H158" i="1"/>
  <c r="N158" i="1" s="1"/>
  <c r="O157" i="1"/>
  <c r="H157" i="1"/>
  <c r="O156" i="1"/>
  <c r="H156" i="1"/>
  <c r="O155" i="1"/>
  <c r="F155" i="1" s="1"/>
  <c r="N155" i="1"/>
  <c r="H155" i="1"/>
  <c r="O154" i="1"/>
  <c r="F154" i="1" s="1"/>
  <c r="N154" i="1"/>
  <c r="P154" i="1" s="1"/>
  <c r="H154" i="1"/>
  <c r="O153" i="1"/>
  <c r="H153" i="1"/>
  <c r="O152" i="1"/>
  <c r="H152" i="1"/>
  <c r="O151" i="1"/>
  <c r="H151" i="1"/>
  <c r="O150" i="1"/>
  <c r="F150" i="1" s="1"/>
  <c r="H150" i="1"/>
  <c r="O149" i="1"/>
  <c r="N149" i="1" s="1"/>
  <c r="Q149" i="1" s="1"/>
  <c r="P149" i="1" s="1"/>
  <c r="H149" i="1"/>
  <c r="F149" i="1"/>
  <c r="O148" i="1"/>
  <c r="H148" i="1"/>
  <c r="H147" i="1"/>
  <c r="N147" i="1" s="1"/>
  <c r="F147" i="1"/>
  <c r="O146" i="1"/>
  <c r="H146" i="1"/>
  <c r="O145" i="1"/>
  <c r="H145" i="1"/>
  <c r="O144" i="1"/>
  <c r="H144" i="1"/>
  <c r="O143" i="1"/>
  <c r="H143" i="1"/>
  <c r="O142" i="1"/>
  <c r="H142" i="1"/>
  <c r="O141" i="1"/>
  <c r="N141" i="1"/>
  <c r="H141" i="1"/>
  <c r="H140" i="1"/>
  <c r="O139" i="1"/>
  <c r="H139" i="1"/>
  <c r="F139" i="1" s="1"/>
  <c r="O138" i="1"/>
  <c r="H138" i="1"/>
  <c r="O137" i="1"/>
  <c r="H137" i="1"/>
  <c r="F137" i="1" s="1"/>
  <c r="N143" i="1" l="1"/>
  <c r="Q143" i="1" s="1"/>
  <c r="P143" i="1" s="1"/>
  <c r="N142" i="1"/>
  <c r="Q142" i="1" s="1"/>
  <c r="P142" i="1" s="1"/>
  <c r="F152" i="1"/>
  <c r="F164" i="1"/>
  <c r="F141" i="1"/>
  <c r="F138" i="1"/>
  <c r="F140" i="1"/>
  <c r="F148" i="1"/>
  <c r="Q158" i="1"/>
  <c r="P158" i="1" s="1"/>
  <c r="F165" i="1"/>
  <c r="F166" i="1"/>
  <c r="F167" i="1"/>
  <c r="F168" i="1"/>
  <c r="F169" i="1"/>
  <c r="F170" i="1"/>
  <c r="F172" i="1"/>
  <c r="F144" i="1"/>
  <c r="F145" i="1"/>
  <c r="F146" i="1"/>
  <c r="N150" i="1"/>
  <c r="Q150" i="1" s="1"/>
  <c r="N151" i="1"/>
  <c r="Q151" i="1" s="1"/>
  <c r="P151" i="1" s="1"/>
  <c r="J152" i="1"/>
  <c r="N152" i="1" s="1"/>
  <c r="F153" i="1"/>
  <c r="J155" i="1"/>
  <c r="F156" i="1"/>
  <c r="F157" i="1"/>
  <c r="F159" i="1"/>
  <c r="F161" i="1"/>
  <c r="Q162" i="1"/>
  <c r="Q163" i="1"/>
  <c r="P163" i="1" s="1"/>
  <c r="N137" i="1"/>
  <c r="N138" i="1"/>
  <c r="Q138" i="1" s="1"/>
  <c r="P138" i="1" s="1"/>
  <c r="N139" i="1"/>
  <c r="N140" i="1"/>
  <c r="Q140" i="1" s="1"/>
  <c r="P140" i="1" s="1"/>
  <c r="Q141" i="1"/>
  <c r="P141" i="1" s="1"/>
  <c r="F142" i="1"/>
  <c r="F143" i="1"/>
  <c r="N144" i="1"/>
  <c r="Q144" i="1" s="1"/>
  <c r="P144" i="1" s="1"/>
  <c r="N145" i="1"/>
  <c r="Q145" i="1" s="1"/>
  <c r="P145" i="1" s="1"/>
  <c r="J148" i="1"/>
  <c r="N148" i="1" s="1"/>
  <c r="F151" i="1"/>
  <c r="N153" i="1"/>
  <c r="Q154" i="1"/>
  <c r="N156" i="1"/>
  <c r="N157" i="1"/>
  <c r="N159" i="1"/>
  <c r="P159" i="1" s="1"/>
  <c r="F160" i="1"/>
  <c r="N161" i="1"/>
  <c r="Q164" i="1"/>
  <c r="N169" i="1"/>
  <c r="Q169" i="1" s="1"/>
  <c r="N170" i="1"/>
  <c r="Q170" i="1" s="1"/>
  <c r="N172" i="1"/>
  <c r="Q172" i="1" s="1"/>
  <c r="P172" i="1" s="1"/>
  <c r="N173" i="1"/>
  <c r="P173" i="1" s="1"/>
  <c r="P150" i="1"/>
  <c r="Q155" i="1"/>
  <c r="P155" i="1" s="1"/>
  <c r="P170" i="1"/>
  <c r="P136" i="1"/>
  <c r="O136" i="1"/>
  <c r="Q136" i="1" s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H123" i="1"/>
  <c r="N123" i="1" s="1"/>
  <c r="Q123" i="1" s="1"/>
  <c r="P123" i="1" s="1"/>
  <c r="O122" i="1"/>
  <c r="H122" i="1"/>
  <c r="O121" i="1"/>
  <c r="H121" i="1"/>
  <c r="O120" i="1"/>
  <c r="H120" i="1"/>
  <c r="O119" i="1"/>
  <c r="H119" i="1"/>
  <c r="O118" i="1"/>
  <c r="H118" i="1"/>
  <c r="O117" i="1"/>
  <c r="L117" i="1"/>
  <c r="H117" i="1"/>
  <c r="O116" i="1"/>
  <c r="H116" i="1"/>
  <c r="O115" i="1"/>
  <c r="H115" i="1"/>
  <c r="O114" i="1"/>
  <c r="H114" i="1"/>
  <c r="O113" i="1"/>
  <c r="H113" i="1"/>
  <c r="J113" i="1" s="1"/>
  <c r="O112" i="1"/>
  <c r="H112" i="1"/>
  <c r="O111" i="1"/>
  <c r="H111" i="1"/>
  <c r="O110" i="1"/>
  <c r="H110" i="1"/>
  <c r="O109" i="1"/>
  <c r="N109" i="1"/>
  <c r="H109" i="1"/>
  <c r="O108" i="1"/>
  <c r="L108" i="1"/>
  <c r="H108" i="1"/>
  <c r="F108" i="1" s="1"/>
  <c r="O107" i="1"/>
  <c r="L107" i="1"/>
  <c r="H107" i="1"/>
  <c r="J107" i="1" s="1"/>
  <c r="O106" i="1"/>
  <c r="N106" i="1"/>
  <c r="H106" i="1"/>
  <c r="O105" i="1"/>
  <c r="H105" i="1"/>
  <c r="O104" i="1"/>
  <c r="H104" i="1"/>
  <c r="O103" i="1"/>
  <c r="H103" i="1"/>
  <c r="O102" i="1"/>
  <c r="N102" i="1"/>
  <c r="H102" i="1"/>
  <c r="P101" i="1"/>
  <c r="O101" i="1"/>
  <c r="Q101" i="1" s="1"/>
  <c r="H101" i="1"/>
  <c r="P100" i="1"/>
  <c r="O100" i="1"/>
  <c r="Q100" i="1" s="1"/>
  <c r="H100" i="1"/>
  <c r="O99" i="1"/>
  <c r="H99" i="1"/>
  <c r="O98" i="1"/>
  <c r="H98" i="1"/>
  <c r="O97" i="1"/>
  <c r="H97" i="1"/>
  <c r="J97" i="1" s="1"/>
  <c r="O96" i="1"/>
  <c r="H96" i="1"/>
  <c r="O95" i="1"/>
  <c r="H95" i="1"/>
  <c r="F95" i="1" s="1"/>
  <c r="O94" i="1"/>
  <c r="H94" i="1"/>
  <c r="O93" i="1"/>
  <c r="F136" i="1" l="1"/>
  <c r="F117" i="1"/>
  <c r="N122" i="1"/>
  <c r="Q122" i="1" s="1"/>
  <c r="P122" i="1" s="1"/>
  <c r="N98" i="1"/>
  <c r="Q98" i="1" s="1"/>
  <c r="P98" i="1" s="1"/>
  <c r="F116" i="1"/>
  <c r="N121" i="1"/>
  <c r="P121" i="1" s="1"/>
  <c r="F113" i="1"/>
  <c r="F102" i="1"/>
  <c r="F101" i="1"/>
  <c r="F100" i="1"/>
  <c r="Q102" i="1"/>
  <c r="P102" i="1" s="1"/>
  <c r="F103" i="1"/>
  <c r="F104" i="1"/>
  <c r="F105" i="1"/>
  <c r="F114" i="1"/>
  <c r="F115" i="1"/>
  <c r="Q173" i="1"/>
  <c r="F109" i="1"/>
  <c r="F106" i="1"/>
  <c r="N94" i="1"/>
  <c r="P94" i="1" s="1"/>
  <c r="N96" i="1"/>
  <c r="P96" i="1" s="1"/>
  <c r="F99" i="1"/>
  <c r="Q106" i="1"/>
  <c r="P106" i="1" s="1"/>
  <c r="Q109" i="1"/>
  <c r="P109" i="1" s="1"/>
  <c r="F110" i="1"/>
  <c r="F111" i="1"/>
  <c r="F112" i="1"/>
  <c r="F118" i="1"/>
  <c r="F119" i="1"/>
  <c r="F120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Q159" i="1"/>
  <c r="P169" i="1"/>
  <c r="P148" i="1"/>
  <c r="Q148" i="1"/>
  <c r="P161" i="1"/>
  <c r="Q161" i="1"/>
  <c r="P156" i="1"/>
  <c r="Q156" i="1"/>
  <c r="P153" i="1"/>
  <c r="Q153" i="1"/>
  <c r="P147" i="1"/>
  <c r="Q147" i="1"/>
  <c r="Q139" i="1"/>
  <c r="P139" i="1"/>
  <c r="Q137" i="1"/>
  <c r="P137" i="1"/>
  <c r="Q96" i="1"/>
  <c r="F94" i="1"/>
  <c r="N95" i="1"/>
  <c r="P95" i="1" s="1"/>
  <c r="F96" i="1"/>
  <c r="F97" i="1"/>
  <c r="N97" i="1"/>
  <c r="P97" i="1" s="1"/>
  <c r="F98" i="1"/>
  <c r="N99" i="1"/>
  <c r="J103" i="1"/>
  <c r="N103" i="1" s="1"/>
  <c r="P103" i="1" s="1"/>
  <c r="N104" i="1"/>
  <c r="P104" i="1" s="1"/>
  <c r="N105" i="1"/>
  <c r="Q105" i="1" s="1"/>
  <c r="P105" i="1" s="1"/>
  <c r="F107" i="1"/>
  <c r="N108" i="1"/>
  <c r="J110" i="1"/>
  <c r="N110" i="1" s="1"/>
  <c r="P110" i="1" s="1"/>
  <c r="J111" i="1"/>
  <c r="J112" i="1"/>
  <c r="N112" i="1" s="1"/>
  <c r="P112" i="1" s="1"/>
  <c r="N113" i="1"/>
  <c r="P113" i="1" s="1"/>
  <c r="N114" i="1"/>
  <c r="Q114" i="1" s="1"/>
  <c r="P114" i="1" s="1"/>
  <c r="J115" i="1"/>
  <c r="N116" i="1"/>
  <c r="P116" i="1" s="1"/>
  <c r="N118" i="1"/>
  <c r="Q118" i="1" s="1"/>
  <c r="J119" i="1"/>
  <c r="J120" i="1"/>
  <c r="F121" i="1"/>
  <c r="F122" i="1"/>
  <c r="F123" i="1"/>
  <c r="J125" i="1"/>
  <c r="J126" i="1"/>
  <c r="N126" i="1" s="1"/>
  <c r="J127" i="1"/>
  <c r="N128" i="1"/>
  <c r="N129" i="1"/>
  <c r="N130" i="1"/>
  <c r="Q130" i="1" s="1"/>
  <c r="P130" i="1" s="1"/>
  <c r="N131" i="1"/>
  <c r="N132" i="1"/>
  <c r="N133" i="1"/>
  <c r="N134" i="1"/>
  <c r="Q134" i="1" s="1"/>
  <c r="P134" i="1" s="1"/>
  <c r="N135" i="1"/>
  <c r="Q135" i="1" s="1"/>
  <c r="P135" i="1" s="1"/>
  <c r="P157" i="1"/>
  <c r="Q157" i="1"/>
  <c r="P152" i="1"/>
  <c r="Q152" i="1"/>
  <c r="Q94" i="1"/>
  <c r="N107" i="1"/>
  <c r="N111" i="1"/>
  <c r="P111" i="1" s="1"/>
  <c r="N115" i="1"/>
  <c r="P115" i="1" s="1"/>
  <c r="N117" i="1"/>
  <c r="N119" i="1"/>
  <c r="P119" i="1" s="1"/>
  <c r="N120" i="1"/>
  <c r="P120" i="1" s="1"/>
  <c r="N125" i="1"/>
  <c r="N127" i="1"/>
  <c r="Q116" i="1"/>
  <c r="G93" i="1"/>
  <c r="F93" i="1" s="1"/>
  <c r="O92" i="1"/>
  <c r="H92" i="1"/>
  <c r="O91" i="1"/>
  <c r="H91" i="1"/>
  <c r="F91" i="1" s="1"/>
  <c r="O90" i="1"/>
  <c r="N90" i="1"/>
  <c r="P90" i="1" s="1"/>
  <c r="H90" i="1"/>
  <c r="O89" i="1"/>
  <c r="H89" i="1"/>
  <c r="O88" i="1"/>
  <c r="H88" i="1"/>
  <c r="O87" i="1"/>
  <c r="H87" i="1"/>
  <c r="F87" i="1" s="1"/>
  <c r="O86" i="1"/>
  <c r="H86" i="1"/>
  <c r="O85" i="1"/>
  <c r="H85" i="1"/>
  <c r="O84" i="1"/>
  <c r="H84" i="1"/>
  <c r="J84" i="1" s="1"/>
  <c r="O83" i="1"/>
  <c r="H83" i="1"/>
  <c r="O82" i="1"/>
  <c r="L82" i="1"/>
  <c r="H82" i="1"/>
  <c r="F82" i="1" s="1"/>
  <c r="O81" i="1"/>
  <c r="H81" i="1"/>
  <c r="J81" i="1" s="1"/>
  <c r="F80" i="1"/>
  <c r="O79" i="1"/>
  <c r="H79" i="1"/>
  <c r="O78" i="1"/>
  <c r="H78" i="1"/>
  <c r="F78" i="1" s="1"/>
  <c r="O77" i="1"/>
  <c r="H77" i="1"/>
  <c r="H76" i="1"/>
  <c r="F76" i="1" s="1"/>
  <c r="O75" i="1"/>
  <c r="H75" i="1"/>
  <c r="F75" i="1" s="1"/>
  <c r="O74" i="1"/>
  <c r="H74" i="1"/>
  <c r="O73" i="1"/>
  <c r="H73" i="1"/>
  <c r="O72" i="1"/>
  <c r="H72" i="1"/>
  <c r="K72" i="1" s="1"/>
  <c r="O71" i="1"/>
  <c r="N71" i="1"/>
  <c r="P71" i="1" s="1"/>
  <c r="H71" i="1"/>
  <c r="N70" i="1"/>
  <c r="P70" i="1" s="1"/>
  <c r="H70" i="1"/>
  <c r="F70" i="1"/>
  <c r="O69" i="1"/>
  <c r="H69" i="1"/>
  <c r="J69" i="1" s="1"/>
  <c r="O68" i="1"/>
  <c r="H68" i="1"/>
  <c r="O67" i="1"/>
  <c r="H67" i="1"/>
  <c r="O66" i="1"/>
  <c r="H66" i="1"/>
  <c r="F66" i="1" s="1"/>
  <c r="O65" i="1"/>
  <c r="J65" i="1"/>
  <c r="H65" i="1"/>
  <c r="O64" i="1"/>
  <c r="H64" i="1"/>
  <c r="J64" i="1" s="1"/>
  <c r="O63" i="1"/>
  <c r="H63" i="1"/>
  <c r="O62" i="1"/>
  <c r="H62" i="1"/>
  <c r="O61" i="1"/>
  <c r="I61" i="1"/>
  <c r="H61" i="1"/>
  <c r="O60" i="1"/>
  <c r="H60" i="1"/>
  <c r="O59" i="1"/>
  <c r="H59" i="1"/>
  <c r="O58" i="1"/>
  <c r="K58" i="1"/>
  <c r="H58" i="1"/>
  <c r="O57" i="1"/>
  <c r="H57" i="1"/>
  <c r="O56" i="1"/>
  <c r="H56" i="1"/>
  <c r="O55" i="1"/>
  <c r="K55" i="1"/>
  <c r="H55" i="1"/>
  <c r="O54" i="1"/>
  <c r="H54" i="1"/>
  <c r="O53" i="1"/>
  <c r="H53" i="1"/>
  <c r="O52" i="1"/>
  <c r="H52" i="1"/>
  <c r="F52" i="1" s="1"/>
  <c r="O51" i="1"/>
  <c r="H51" i="1"/>
  <c r="F51" i="1" s="1"/>
  <c r="O50" i="1"/>
  <c r="H50" i="1"/>
  <c r="O49" i="1"/>
  <c r="J49" i="1"/>
  <c r="H49" i="1"/>
  <c r="O48" i="1"/>
  <c r="H48" i="1"/>
  <c r="O47" i="1"/>
  <c r="N47" i="1" s="1"/>
  <c r="Q47" i="1" s="1"/>
  <c r="H47" i="1"/>
  <c r="O46" i="1"/>
  <c r="H46" i="1"/>
  <c r="O45" i="1"/>
  <c r="H45" i="1"/>
  <c r="O44" i="1"/>
  <c r="H44" i="1"/>
  <c r="F44" i="1" s="1"/>
  <c r="O43" i="1"/>
  <c r="H43" i="1"/>
  <c r="O42" i="1"/>
  <c r="H42" i="1"/>
  <c r="F42" i="1" s="1"/>
  <c r="O41" i="1"/>
  <c r="H41" i="1"/>
  <c r="O40" i="1"/>
  <c r="H40" i="1"/>
  <c r="O39" i="1"/>
  <c r="H39" i="1"/>
  <c r="O38" i="1"/>
  <c r="H38" i="1"/>
  <c r="F38" i="1" s="1"/>
  <c r="O37" i="1"/>
  <c r="H37" i="1"/>
  <c r="O36" i="1"/>
  <c r="H36" i="1"/>
  <c r="O35" i="1"/>
  <c r="H35" i="1"/>
  <c r="H34" i="1"/>
  <c r="J34" i="1" s="1"/>
  <c r="F34" i="1"/>
  <c r="O33" i="1"/>
  <c r="H33" i="1"/>
  <c r="J33" i="1" s="1"/>
  <c r="O32" i="1"/>
  <c r="H32" i="1"/>
  <c r="J32" i="1" s="1"/>
  <c r="O31" i="1"/>
  <c r="H31" i="1"/>
  <c r="J31" i="1" s="1"/>
  <c r="O30" i="1"/>
  <c r="H30" i="1"/>
  <c r="J30" i="1" s="1"/>
  <c r="O29" i="1"/>
  <c r="H29" i="1"/>
  <c r="J29" i="1" s="1"/>
  <c r="O28" i="1"/>
  <c r="H28" i="1"/>
  <c r="J28" i="1" s="1"/>
  <c r="O27" i="1"/>
  <c r="J27" i="1"/>
  <c r="H27" i="1"/>
  <c r="O26" i="1"/>
  <c r="H26" i="1"/>
  <c r="O25" i="1"/>
  <c r="N25" i="1"/>
  <c r="P25" i="1" s="1"/>
  <c r="H25" i="1"/>
  <c r="O24" i="1"/>
  <c r="H24" i="1"/>
  <c r="O23" i="1"/>
  <c r="H23" i="1"/>
  <c r="O22" i="1"/>
  <c r="H22" i="1"/>
  <c r="F22" i="1" s="1"/>
  <c r="O21" i="1"/>
  <c r="K21" i="1"/>
  <c r="H21" i="1"/>
  <c r="F21" i="1" s="1"/>
  <c r="O20" i="1"/>
  <c r="N20" i="1"/>
  <c r="P20" i="1" s="1"/>
  <c r="H20" i="1"/>
  <c r="O19" i="1"/>
  <c r="H19" i="1"/>
  <c r="O18" i="1"/>
  <c r="H18" i="1"/>
  <c r="O17" i="1"/>
  <c r="H17" i="1"/>
  <c r="N48" i="1" l="1"/>
  <c r="Q48" i="1" s="1"/>
  <c r="F37" i="1"/>
  <c r="F39" i="1"/>
  <c r="F45" i="1"/>
  <c r="F49" i="1"/>
  <c r="F58" i="1"/>
  <c r="N59" i="1"/>
  <c r="Q59" i="1" s="1"/>
  <c r="F79" i="1"/>
  <c r="F90" i="1"/>
  <c r="Q121" i="1"/>
  <c r="N60" i="1"/>
  <c r="Q60" i="1" s="1"/>
  <c r="P60" i="1" s="1"/>
  <c r="N83" i="1"/>
  <c r="Q83" i="1" s="1"/>
  <c r="F20" i="1"/>
  <c r="N26" i="1"/>
  <c r="P26" i="1" s="1"/>
  <c r="F71" i="1"/>
  <c r="F81" i="1"/>
  <c r="O219" i="1"/>
  <c r="N9" i="1" s="1"/>
  <c r="N14" i="1" s="1"/>
  <c r="Q103" i="1"/>
  <c r="Q97" i="1"/>
  <c r="Q120" i="1"/>
  <c r="P118" i="1"/>
  <c r="F55" i="1"/>
  <c r="F74" i="1"/>
  <c r="F50" i="1"/>
  <c r="F25" i="1"/>
  <c r="F35" i="1"/>
  <c r="F36" i="1"/>
  <c r="F41" i="1"/>
  <c r="F43" i="1"/>
  <c r="F56" i="1"/>
  <c r="F57" i="1"/>
  <c r="F77" i="1"/>
  <c r="Q113" i="1"/>
  <c r="Q111" i="1"/>
  <c r="Q104" i="1"/>
  <c r="F17" i="1"/>
  <c r="F18" i="1"/>
  <c r="F19" i="1"/>
  <c r="Q20" i="1"/>
  <c r="J21" i="1"/>
  <c r="N21" i="1" s="1"/>
  <c r="Q21" i="1" s="1"/>
  <c r="N23" i="1"/>
  <c r="Q23" i="1" s="1"/>
  <c r="N24" i="1"/>
  <c r="N40" i="1"/>
  <c r="Q40" i="1" s="1"/>
  <c r="P40" i="1" s="1"/>
  <c r="J45" i="1"/>
  <c r="N45" i="1" s="1"/>
  <c r="F46" i="1"/>
  <c r="N53" i="1"/>
  <c r="Q53" i="1" s="1"/>
  <c r="P53" i="1" s="1"/>
  <c r="N54" i="1"/>
  <c r="Q54" i="1" s="1"/>
  <c r="J55" i="1"/>
  <c r="N55" i="1" s="1"/>
  <c r="P55" i="1" s="1"/>
  <c r="N62" i="1"/>
  <c r="Q62" i="1" s="1"/>
  <c r="P62" i="1" s="1"/>
  <c r="N63" i="1"/>
  <c r="Q63" i="1" s="1"/>
  <c r="P63" i="1" s="1"/>
  <c r="J66" i="1"/>
  <c r="N66" i="1" s="1"/>
  <c r="F67" i="1"/>
  <c r="F68" i="1"/>
  <c r="N73" i="1"/>
  <c r="Q73" i="1" s="1"/>
  <c r="P73" i="1" s="1"/>
  <c r="J76" i="1"/>
  <c r="N76" i="1" s="1"/>
  <c r="N85" i="1"/>
  <c r="Q85" i="1" s="1"/>
  <c r="N86" i="1"/>
  <c r="Q86" i="1" s="1"/>
  <c r="J87" i="1"/>
  <c r="N87" i="1" s="1"/>
  <c r="F88" i="1"/>
  <c r="F89" i="1"/>
  <c r="Q90" i="1"/>
  <c r="J91" i="1"/>
  <c r="F92" i="1"/>
  <c r="Q95" i="1"/>
  <c r="Q115" i="1"/>
  <c r="Q112" i="1"/>
  <c r="Q110" i="1"/>
  <c r="P21" i="1"/>
  <c r="P126" i="1"/>
  <c r="Q126" i="1"/>
  <c r="Q117" i="1"/>
  <c r="P117" i="1"/>
  <c r="P133" i="1"/>
  <c r="Q133" i="1"/>
  <c r="P131" i="1"/>
  <c r="Q131" i="1"/>
  <c r="P129" i="1"/>
  <c r="Q129" i="1"/>
  <c r="P108" i="1"/>
  <c r="Q108" i="1"/>
  <c r="Q26" i="1"/>
  <c r="N34" i="1"/>
  <c r="Q34" i="1" s="1"/>
  <c r="P34" i="1" s="1"/>
  <c r="K18" i="1"/>
  <c r="N18" i="1" s="1"/>
  <c r="N19" i="1"/>
  <c r="N22" i="1"/>
  <c r="F23" i="1"/>
  <c r="P23" i="1"/>
  <c r="F24" i="1"/>
  <c r="F26" i="1"/>
  <c r="F27" i="1"/>
  <c r="N27" i="1"/>
  <c r="P27" i="1" s="1"/>
  <c r="F28" i="1"/>
  <c r="N28" i="1"/>
  <c r="Q28" i="1" s="1"/>
  <c r="F29" i="1"/>
  <c r="N29" i="1"/>
  <c r="Q29" i="1" s="1"/>
  <c r="F30" i="1"/>
  <c r="N30" i="1"/>
  <c r="Q30" i="1" s="1"/>
  <c r="F31" i="1"/>
  <c r="N31" i="1"/>
  <c r="Q31" i="1" s="1"/>
  <c r="F32" i="1"/>
  <c r="N32" i="1"/>
  <c r="Q32" i="1" s="1"/>
  <c r="F33" i="1"/>
  <c r="N33" i="1"/>
  <c r="Q33" i="1" s="1"/>
  <c r="J35" i="1"/>
  <c r="J36" i="1"/>
  <c r="N36" i="1" s="1"/>
  <c r="P36" i="1" s="1"/>
  <c r="N37" i="1"/>
  <c r="P37" i="1" s="1"/>
  <c r="N38" i="1"/>
  <c r="P38" i="1" s="1"/>
  <c r="J39" i="1"/>
  <c r="F40" i="1"/>
  <c r="N42" i="1"/>
  <c r="J43" i="1"/>
  <c r="N43" i="1" s="1"/>
  <c r="P43" i="1" s="1"/>
  <c r="J44" i="1"/>
  <c r="J46" i="1"/>
  <c r="F47" i="1"/>
  <c r="P47" i="1"/>
  <c r="F48" i="1"/>
  <c r="P48" i="1"/>
  <c r="N49" i="1"/>
  <c r="P49" i="1" s="1"/>
  <c r="N50" i="1"/>
  <c r="Q50" i="1" s="1"/>
  <c r="P50" i="1" s="1"/>
  <c r="N51" i="1"/>
  <c r="N52" i="1"/>
  <c r="Q52" i="1" s="1"/>
  <c r="P52" i="1" s="1"/>
  <c r="F53" i="1"/>
  <c r="F54" i="1"/>
  <c r="P54" i="1"/>
  <c r="J56" i="1"/>
  <c r="J57" i="1"/>
  <c r="N57" i="1" s="1"/>
  <c r="P57" i="1" s="1"/>
  <c r="J58" i="1"/>
  <c r="N58" i="1" s="1"/>
  <c r="F59" i="1"/>
  <c r="P59" i="1"/>
  <c r="F60" i="1"/>
  <c r="F61" i="1"/>
  <c r="J61" i="1"/>
  <c r="N61" i="1" s="1"/>
  <c r="F62" i="1"/>
  <c r="F63" i="1"/>
  <c r="F64" i="1"/>
  <c r="N64" i="1"/>
  <c r="P64" i="1" s="1"/>
  <c r="F65" i="1"/>
  <c r="N65" i="1"/>
  <c r="Q65" i="1" s="1"/>
  <c r="J67" i="1"/>
  <c r="J68" i="1"/>
  <c r="N68" i="1" s="1"/>
  <c r="Q68" i="1" s="1"/>
  <c r="F69" i="1"/>
  <c r="N69" i="1"/>
  <c r="Q69" i="1" s="1"/>
  <c r="Q70" i="1"/>
  <c r="F72" i="1"/>
  <c r="Q71" i="1" s="1"/>
  <c r="N72" i="1"/>
  <c r="Q72" i="1" s="1"/>
  <c r="F73" i="1"/>
  <c r="J74" i="1"/>
  <c r="N75" i="1"/>
  <c r="P75" i="1" s="1"/>
  <c r="N77" i="1"/>
  <c r="Q77" i="1" s="1"/>
  <c r="P77" i="1" s="1"/>
  <c r="N78" i="1"/>
  <c r="N79" i="1"/>
  <c r="N81" i="1"/>
  <c r="P81" i="1" s="1"/>
  <c r="F83" i="1"/>
  <c r="F84" i="1"/>
  <c r="K84" i="1"/>
  <c r="N84" i="1" s="1"/>
  <c r="P84" i="1" s="1"/>
  <c r="F85" i="1"/>
  <c r="F86" i="1"/>
  <c r="J88" i="1"/>
  <c r="N88" i="1" s="1"/>
  <c r="Q88" i="1" s="1"/>
  <c r="J89" i="1"/>
  <c r="N89" i="1" s="1"/>
  <c r="N91" i="1"/>
  <c r="Q91" i="1" s="1"/>
  <c r="J92" i="1"/>
  <c r="N92" i="1" s="1"/>
  <c r="P92" i="1" s="1"/>
  <c r="H93" i="1"/>
  <c r="Q119" i="1"/>
  <c r="P127" i="1"/>
  <c r="Q127" i="1"/>
  <c r="P125" i="1"/>
  <c r="Q125" i="1"/>
  <c r="Q107" i="1"/>
  <c r="P107" i="1"/>
  <c r="P132" i="1"/>
  <c r="Q132" i="1"/>
  <c r="P128" i="1"/>
  <c r="Q128" i="1"/>
  <c r="P99" i="1"/>
  <c r="Q99" i="1"/>
  <c r="N35" i="1"/>
  <c r="P35" i="1" s="1"/>
  <c r="N39" i="1"/>
  <c r="N44" i="1"/>
  <c r="N46" i="1"/>
  <c r="N56" i="1"/>
  <c r="P56" i="1" s="1"/>
  <c r="N67" i="1"/>
  <c r="Q67" i="1" s="1"/>
  <c r="N74" i="1"/>
  <c r="Q37" i="1"/>
  <c r="P91" i="1"/>
  <c r="N82" i="1"/>
  <c r="P82" i="1" s="1"/>
  <c r="Q25" i="1"/>
  <c r="P29" i="1"/>
  <c r="Q56" i="1"/>
  <c r="Q49" i="1" l="1"/>
  <c r="Q75" i="1"/>
  <c r="P33" i="1"/>
  <c r="Q27" i="1"/>
  <c r="P31" i="1"/>
  <c r="P85" i="1"/>
  <c r="P83" i="1"/>
  <c r="P69" i="1"/>
  <c r="P65" i="1"/>
  <c r="Q81" i="1"/>
  <c r="P68" i="1"/>
  <c r="Q84" i="1"/>
  <c r="Q55" i="1"/>
  <c r="Q35" i="1"/>
  <c r="Q61" i="1"/>
  <c r="P61" i="1"/>
  <c r="P76" i="1"/>
  <c r="Q76" i="1"/>
  <c r="P66" i="1"/>
  <c r="Q66" i="1"/>
  <c r="P32" i="1"/>
  <c r="P30" i="1"/>
  <c r="P28" i="1"/>
  <c r="Q64" i="1"/>
  <c r="P72" i="1"/>
  <c r="Q38" i="1"/>
  <c r="P86" i="1"/>
  <c r="Q58" i="1"/>
  <c r="P58" i="1"/>
  <c r="Q89" i="1"/>
  <c r="P89" i="1"/>
  <c r="Q18" i="1"/>
  <c r="P18" i="1"/>
  <c r="P74" i="1"/>
  <c r="Q74" i="1"/>
  <c r="Q46" i="1"/>
  <c r="P46" i="1"/>
  <c r="Q44" i="1"/>
  <c r="P44" i="1"/>
  <c r="P39" i="1"/>
  <c r="Q39" i="1"/>
  <c r="J93" i="1"/>
  <c r="N93" i="1" s="1"/>
  <c r="P78" i="1"/>
  <c r="Q78" i="1"/>
  <c r="P51" i="1"/>
  <c r="Q51" i="1"/>
  <c r="P45" i="1"/>
  <c r="Q45" i="1"/>
  <c r="Q92" i="1"/>
  <c r="P88" i="1"/>
  <c r="P67" i="1"/>
  <c r="Q57" i="1"/>
  <c r="Q43" i="1"/>
  <c r="Q36" i="1"/>
  <c r="P87" i="1"/>
  <c r="Q87" i="1"/>
  <c r="P79" i="1"/>
  <c r="Q79" i="1"/>
  <c r="Q42" i="1"/>
  <c r="P42" i="1"/>
  <c r="P19" i="1"/>
  <c r="Q19" i="1"/>
  <c r="Q82" i="1"/>
  <c r="P314" i="1"/>
  <c r="Q314" i="1" s="1"/>
  <c r="P312" i="1"/>
  <c r="Q312" i="1" s="1"/>
  <c r="P93" i="1" l="1"/>
  <c r="Q93" i="1"/>
  <c r="J17" i="1"/>
  <c r="N17" i="1"/>
  <c r="P22" i="1"/>
  <c r="P24" i="1"/>
  <c r="J41" i="1"/>
  <c r="N41" i="1"/>
  <c r="P41" i="1" s="1"/>
  <c r="J124" i="1"/>
  <c r="N124" i="1"/>
  <c r="P124" i="1" s="1"/>
  <c r="J146" i="1"/>
  <c r="N146" i="1"/>
  <c r="P146" i="1" s="1"/>
  <c r="J165" i="1"/>
  <c r="N165" i="1" s="1"/>
  <c r="J166" i="1"/>
  <c r="N166" i="1" s="1"/>
  <c r="J167" i="1"/>
  <c r="N167" i="1" s="1"/>
  <c r="J168" i="1"/>
  <c r="N168" i="1"/>
  <c r="P168" i="1" s="1"/>
  <c r="N171" i="1"/>
  <c r="P171" i="1" s="1"/>
  <c r="J176" i="1"/>
  <c r="N176" i="1" s="1"/>
  <c r="J182" i="1"/>
  <c r="N182" i="1" s="1"/>
  <c r="Q41" i="1"/>
  <c r="Q22" i="1"/>
  <c r="Q24" i="1"/>
  <c r="Q168" i="1"/>
  <c r="P166" i="1" l="1"/>
  <c r="Q166" i="1"/>
  <c r="N218" i="1"/>
  <c r="O221" i="1"/>
  <c r="N8" i="1" s="1"/>
  <c r="P17" i="1"/>
  <c r="Q146" i="1"/>
  <c r="P176" i="1"/>
  <c r="Q176" i="1"/>
  <c r="Q167" i="1"/>
  <c r="P167" i="1"/>
  <c r="P182" i="1"/>
  <c r="Q182" i="1"/>
  <c r="Q165" i="1"/>
  <c r="P165" i="1"/>
  <c r="Q171" i="1"/>
  <c r="Q124" i="1"/>
  <c r="Q17" i="1"/>
  <c r="P219" i="1" l="1"/>
  <c r="N219" i="1" s="1"/>
  <c r="P218" i="1"/>
  <c r="N7" i="1"/>
  <c r="N10" i="1" l="1"/>
</calcChain>
</file>

<file path=xl/comments1.xml><?xml version="1.0" encoding="utf-8"?>
<comments xmlns="http://schemas.openxmlformats.org/spreadsheetml/2006/main">
  <authors>
    <author>Patrick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 and spinoffs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Internal rate of return is defined as the annualized effective compounded return rate that makes net present value of all cash flows = 0.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Maximum capital invested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$409 on 5/28/1999 for covering Amazon short of 11/16/1998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$5416 on 2/2/2000 for selling Calton from 8/13/1998</t>
        </r>
      </text>
    </comment>
    <comment ref="A3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$3000 on 4/4/2000 for sale of IDTI from 4/21/1997</t>
        </r>
      </text>
    </comment>
    <comment ref="A4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$1176 7/24/2001 for sale of Calton from 7/24/2000</t>
        </r>
      </text>
    </comment>
    <comment ref="A5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$1900 12/1/2001 for JNPR and $2224 4/2/2002 for GAJ</t>
        </r>
      </text>
    </comment>
    <comment ref="K5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Travellers spinoff</t>
        </r>
      </text>
    </comment>
    <comment ref="K5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Medco/Express Scripts spinoff</t>
        </r>
      </text>
    </comment>
    <comment ref="A6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$1573 on 11/1/2002 for sale of BMRN</t>
        </r>
      </text>
    </comment>
    <comment ref="A6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$1111 and $842 on 2/11/2003 for CN</t>
        </r>
      </text>
    </comment>
    <comment ref="K7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GXP</t>
        </r>
      </text>
    </comment>
    <comment ref="A7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$1219 from NLY and $1617 from CICI</t>
        </r>
      </text>
    </comment>
    <comment ref="A8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$1015 from YUKOY</t>
        </r>
      </text>
    </comment>
    <comment ref="K8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Ameriprise Financial spinoff</t>
        </r>
      </text>
    </comment>
    <comment ref="A8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$882 from SYM</t>
        </r>
      </text>
    </comment>
    <comment ref="A8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$2288 from PPD</t>
        </r>
      </text>
    </comment>
    <comment ref="A9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$1282 and $5263 and $1970 for CMM</t>
        </r>
      </text>
    </comment>
    <comment ref="A9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$1875 for NTMD puts</t>
        </r>
      </text>
    </comment>
    <comment ref="A9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$700 for ARC reit</t>
        </r>
      </text>
    </comment>
    <comment ref="A9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 $1852 for TXCO</t>
        </r>
      </text>
    </comment>
    <comment ref="A9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993 for CMCSA</t>
        </r>
      </text>
    </comment>
    <comment ref="A9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$2015 and $2495 and $4479 from CSPLF and $2646 from YCC and $1168 from LEA</t>
        </r>
      </text>
    </comment>
    <comment ref="A9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$7143 and $13889 from ALBAW and $513 from ILA and $546 from AXP</t>
        </r>
      </text>
    </comment>
    <comment ref="A10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$1445 from CBH</t>
        </r>
      </text>
    </comment>
    <comment ref="A10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$3000 for AAPL leaps</t>
        </r>
      </text>
    </comment>
    <comment ref="A10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$1626 for TXCO</t>
        </r>
      </text>
    </comment>
    <comment ref="A12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$1930 from RSW and $1963 from NTMD</t>
        </r>
      </text>
    </comment>
    <comment ref="A12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$715 from AXP and $688 from WFC and $675 from TKF</t>
        </r>
      </text>
    </comment>
    <comment ref="A13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$2818 for CRTX and $810 for TKF</t>
        </r>
      </text>
    </comment>
    <comment ref="A13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$1771 from INCY and $678 from PRGX and $1360 from ALTU</t>
        </r>
      </text>
    </comment>
    <comment ref="A13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$1196 from BZ</t>
        </r>
      </text>
    </comment>
    <comment ref="A13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$603 from TKF</t>
        </r>
      </text>
    </comment>
    <comment ref="A13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$969 from PRGX</t>
        </r>
      </text>
    </comment>
    <comment ref="A14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$1826 from INCY</t>
        </r>
      </text>
    </comment>
    <comment ref="A14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$250 from HAPN</t>
        </r>
      </text>
    </comment>
    <comment ref="A15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$1221 from NBIX and $1100 from JAV</t>
        </r>
      </text>
    </comment>
    <comment ref="A15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$1252 from TTT</t>
        </r>
      </text>
    </comment>
    <comment ref="A16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$2074 for LNY</t>
        </r>
      </text>
    </comment>
    <comment ref="A16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$1419 for AFOP</t>
        </r>
      </text>
    </comment>
    <comment ref="B16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Next update convert these to Gotham Total Return</t>
        </r>
      </text>
    </comment>
    <comment ref="B166" authorId="0">
      <text>
        <r>
          <rPr>
            <b/>
            <sz val="9"/>
            <color indexed="81"/>
            <rFont val="Tahoma"/>
            <charset val="1"/>
          </rPr>
          <t>Patrick Johnson:
Next update convert these to Gotham Total Return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7" authorId="0">
      <text>
        <r>
          <rPr>
            <b/>
            <sz val="9"/>
            <color indexed="81"/>
            <rFont val="Tahoma"/>
            <charset val="1"/>
          </rPr>
          <t>Patrick Johnson:
Next update convert these to Gotham Total Return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8" authorId="0">
      <text>
        <r>
          <rPr>
            <b/>
            <sz val="9"/>
            <color indexed="81"/>
            <rFont val="Tahoma"/>
            <charset val="1"/>
          </rPr>
          <t>Patrick Johnson:
Next update convert these to Gotham Total Return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$38250 for BZ Warrants and $1041 for DFZ</t>
        </r>
      </text>
    </comment>
    <comment ref="A17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$466 from DCTH and $1084 from AMRN</t>
        </r>
      </text>
    </comment>
    <comment ref="A17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$1241 from AMRN</t>
        </r>
      </text>
    </comment>
    <comment ref="A17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$3214 from APC</t>
        </r>
      </text>
    </comment>
    <comment ref="A187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$906 from ITMN</t>
        </r>
      </text>
    </comment>
    <comment ref="A19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$108 from EMIS</t>
        </r>
      </text>
    </comment>
    <comment ref="A191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$780 from ALXA</t>
        </r>
      </text>
    </comment>
    <comment ref="A192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$1397 from DNDN and $827 from KERX</t>
        </r>
      </text>
    </comment>
    <comment ref="A19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$174 from CRME</t>
        </r>
      </text>
    </comment>
    <comment ref="A195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$313 from NABI</t>
        </r>
      </text>
    </comment>
    <comment ref="A198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$1187 from HGSI</t>
        </r>
      </text>
    </comment>
    <comment ref="A19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$5151 from WMT leaps</t>
        </r>
      </text>
    </comment>
    <comment ref="A209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$165 and $538 from FCSC</t>
        </r>
      </text>
    </comment>
    <comment ref="A210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$1493 from OSIR</t>
        </r>
      </text>
    </comment>
    <comment ref="A213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$880 from SODA leaps and $1179 from QCOR</t>
        </r>
      </text>
    </comment>
    <comment ref="A214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$3611 from NPSP and $2870 from NBIX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$1131 and $1256 from GLD and GLD</t>
        </r>
      </text>
    </comment>
    <comment ref="A216" authorId="0">
      <text>
        <r>
          <rPr>
            <b/>
            <sz val="9"/>
            <color indexed="81"/>
            <rFont val="Tahoma"/>
            <charset val="1"/>
          </rPr>
          <t>Patrick Johnson:</t>
        </r>
        <r>
          <rPr>
            <sz val="9"/>
            <color indexed="81"/>
            <rFont val="Tahoma"/>
            <charset val="1"/>
          </rPr>
          <t xml:space="preserve">
Received $6647 from NPSP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3" background="1">
    <webPr xl2000="1" url="http://moneycentral.msn.com/investor/external/excel/quotes.asp?symbol=MSFT" htmlTables="1" htmlFormat="all"/>
  </connection>
  <connection id="2" name="Connection1" type="4" refreshedVersion="3" background="1" saveData="1">
    <webPr sourceData="1" parsePre="1" consecutive="1" xl2000="1" url="http://investing.money.msn.com/investments/mutual-fund-rates/?symbol=prgsx&amp;ocid=qbeb" htmlTables="1">
      <tables count="1">
        <s v="details"/>
      </tables>
    </webPr>
  </connection>
  <connection id="3" name="Connection10" type="4" refreshedVersion="3" background="1" saveData="1">
    <webPr sourceData="1" parsePre="1" consecutive="1" xl2000="1" url="http://investing.money.msn.com/investments/stock-price?Symbol=msft&amp;ocid=qbeb" htmlTables="1">
      <tables count="1">
        <x v="1"/>
      </tables>
    </webPr>
  </connection>
  <connection id="4" name="Connection11" type="4" refreshedVersion="3" background="1" saveData="1">
    <webPr sourceData="1" parsePre="1" consecutive="1" xl2000="1" url="http://investing.money.msn.com/investments/stock-price?Symbol=mck&amp;ocid=qbeb" htmlTables="1">
      <tables count="1">
        <x v="1"/>
      </tables>
    </webPr>
  </connection>
  <connection id="5" name="Connection12" type="4" refreshedVersion="3" background="1" saveData="1">
    <webPr sourceData="1" parsePre="1" consecutive="1" xl2000="1" url="http://investing.money.msn.com/investments/stock-price?Symbol=npk&amp;ocid=qbeb" htmlTables="1">
      <tables count="1">
        <x v="1"/>
      </tables>
    </webPr>
  </connection>
  <connection id="6" name="Connection13" type="4" refreshedVersion="3" background="1" saveData="1">
    <webPr sourceData="1" parsePre="1" consecutive="1" xl2000="1" url="http://investing.money.msn.com/investments/stock-price?Symbol=mvc&amp;ocid=qbeb" htmlTables="1">
      <tables count="1">
        <x v="1"/>
      </tables>
    </webPr>
  </connection>
  <connection id="7" name="Connection14" type="4" refreshedVersion="3" background="1" saveData="1">
    <webPr sourceData="1" parsePre="1" consecutive="1" xl2000="1" url="http://investing.money.msn.com/investments/stock-price?Symbol=hmc&amp;ocid=qbeb" htmlTables="1">
      <tables count="1">
        <x v="1"/>
      </tables>
    </webPr>
  </connection>
  <connection id="8" name="Connection15" type="4" refreshedVersion="3" background="1" saveData="1">
    <webPr sourceData="1" parsePre="1" consecutive="1" xl2000="1" url="http://investing.money.msn.com/investments/stock-price?Symbol=jnpr&amp;ocid=qbeb" htmlTables="1">
      <tables count="1">
        <x v="1"/>
      </tables>
    </webPr>
  </connection>
  <connection id="9" name="Connection16" type="4" refreshedVersion="3" background="1" saveData="1">
    <webPr sourceData="1" parsePre="1" consecutive="1" xl2000="1" url="http://investing.money.msn.com/investments/stock-price?Symbol=an&amp;ocid=qbeb" htmlTables="1">
      <tables count="1">
        <x v="1"/>
      </tables>
    </webPr>
  </connection>
  <connection id="10" name="Connection17" type="4" refreshedVersion="3" background="1" saveData="1">
    <webPr sourceData="1" parsePre="1" consecutive="1" xl2000="1" url="http://investing.money.msn.com/investments/stock-price?Symbol=c&amp;ocid=qbeb" htmlTables="1">
      <tables count="1">
        <x v="1"/>
      </tables>
    </webPr>
  </connection>
  <connection id="11" name="Connection18" type="4" refreshedVersion="3" background="1" saveData="1">
    <webPr sourceData="1" parsePre="1" consecutive="1" xl2000="1" url="http://investing.money.msn.com/investments/stock-price?Symbol=epd&amp;ocid=qbeb" htmlTables="1">
      <tables count="1">
        <x v="1"/>
      </tables>
    </webPr>
  </connection>
  <connection id="12" name="Connection19" type="4" refreshedVersion="3" background="1" saveData="1">
    <webPr sourceData="1" parsePre="1" consecutive="1" xl2000="1" url="http://investing.money.msn.com/investments/stock-price?Symbol=jnj&amp;ocid=qbeb" htmlTables="1">
      <tables count="1">
        <x v="1"/>
      </tables>
    </webPr>
  </connection>
  <connection id="13" name="Connection2" type="4" refreshedVersion="3" background="1" saveData="1">
    <webPr sourceData="1" parsePre="1" consecutive="1" xl2000="1" url="http://investing.money.msn.com/investments/stock-price?Symbol=ncr&amp;ocid=qbeb" htmlTables="1">
      <tables count="1">
        <x v="1"/>
      </tables>
    </webPr>
  </connection>
  <connection id="14" name="Connection20" type="4" refreshedVersion="3" background="1" saveData="1">
    <webPr sourceData="1" parsePre="1" consecutive="1" xl2000="1" url="http://investing.money.msn.com/investments/stock-price?Symbol=mrk&amp;ocid=qbeb" htmlTables="1">
      <tables count="1">
        <x v="1"/>
      </tables>
    </webPr>
  </connection>
  <connection id="15" name="Connection21" type="4" refreshedVersion="3" background="1" saveData="1">
    <webPr sourceData="1" parsePre="1" consecutive="1" xl2000="1" url="http://investing.money.msn.com/investments/stock-price?Symbol=ntii&amp;ocid=qbeb" htmlTables="1">
      <tables count="1">
        <x v="1"/>
      </tables>
    </webPr>
  </connection>
  <connection id="16" name="Connection22" type="4" refreshedVersion="3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17" name="Connection23" type="4" refreshedVersion="3" background="1" saveData="1">
    <webPr sourceData="1" parsePre="1" consecutive="1" xl2000="1" url="http://investing.money.msn.com/investments/stock-price?Symbol=fgp&amp;ocid=qbeb" htmlTables="1">
      <tables count="1">
        <x v="1"/>
      </tables>
    </webPr>
  </connection>
  <connection id="18" name="Connection24" type="4" refreshedVersion="3" background="1" saveData="1">
    <webPr sourceData="1" parsePre="1" consecutive="1" xl2000="1" url="http://investing.money.msn.com/investments/stock-price?Symbol=pcg&amp;ocid=qbeb" htmlTables="1">
      <tables count="1">
        <x v="1"/>
      </tables>
    </webPr>
  </connection>
  <connection id="19" name="Connection25" type="4" refreshedVersion="3" background="1" saveData="1">
    <webPr sourceData="1" parsePre="1" consecutive="1" xl2000="1" url="http://investing.money.msn.com/investments/stock-price?Symbol=sne&amp;ocid=qbeb" htmlTables="1">
      <tables count="1">
        <x v="1"/>
      </tables>
    </webPr>
  </connection>
  <connection id="20" name="Connection26" type="4" refreshedVersion="3" background="1" saveData="1">
    <webPr sourceData="1" parsePre="1" consecutive="1" xl2000="1" url="http://investing.money.msn.com/investments/stock-price?Symbol=pcl&amp;ocid=qbeb" htmlTables="1">
      <tables count="1">
        <x v="1"/>
      </tables>
    </webPr>
  </connection>
  <connection id="21" name="Connection27" type="4" refreshedVersion="3" background="1" saveData="1">
    <webPr sourceData="1" parsePre="1" consecutive="1" xl2000="1" url="http://investing.money.msn.com/investments/stock-price?Symbol=apc&amp;ocid=qbeb" htmlTables="1">
      <tables count="1">
        <x v="1"/>
      </tables>
    </webPr>
  </connection>
  <connection id="22" name="Connection28" type="4" refreshedVersion="3" background="1" saveData="1">
    <webPr sourceData="1" parsePre="1" consecutive="1" xl2000="1" url="http://investing.money.msn.com/investments/stock-price?Symbol=kf&amp;ocid=qbeb" htmlTables="1">
      <tables count="1">
        <x v="1"/>
      </tables>
    </webPr>
  </connection>
  <connection id="23" name="Connection29" type="4" refreshedVersion="3" background="1" saveData="1">
    <webPr sourceData="1" parsePre="1" consecutive="1" xl2000="1" url="http://investing.money.msn.com/investments/stock-price?Symbol=dd&amp;ocid=qbeb" htmlTables="1">
      <tables count="1">
        <x v="1"/>
      </tables>
    </webPr>
  </connection>
  <connection id="24" name="Connection3" type="4" refreshedVersion="3" background="1" saveData="1">
    <webPr sourceData="1" parsePre="1" consecutive="1" xl2000="1" url="http://investing.money.msn.com/investments/stock-price?Symbol=bth&amp;ocid=qbeb" htmlTables="1">
      <tables count="1">
        <x v="1"/>
      </tables>
    </webPr>
  </connection>
  <connection id="25" name="Connection30" type="4" refreshedVersion="3" background="1" saveData="1">
    <webPr sourceData="1" parsePre="1" consecutive="1" xl2000="1" url="http://investing.money.msn.com/investments/stock-price?Symbol=ge&amp;ocid=qbeb" htmlTables="1">
      <tables count="1">
        <x v="1"/>
      </tables>
    </webPr>
  </connection>
  <connection id="26" name="Connection31" type="4" refreshedVersion="3" background="1" saveData="1">
    <webPr sourceData="1" parsePre="1" consecutive="1" xl2000="1" url="http://investing.money.msn.com/investments/stock-price?Symbol=wmt&amp;ocid=qbeb" htmlTables="1">
      <tables count="1">
        <x v="1"/>
      </tables>
    </webPr>
  </connection>
  <connection id="27" name="Connection32" type="4" refreshedVersion="3" background="1" saveData="1">
    <webPr sourceData="1" parsePre="1" consecutive="1" xl2000="1" url="http://investing.money.msn.com/investments/stock-price?Symbol=fmd&amp;ocid=qbeb" htmlTables="1">
      <tables count="1">
        <x v="1"/>
      </tables>
    </webPr>
  </connection>
  <connection id="28" name="Connection33" type="4" refreshedVersion="3" background="1" saveData="1">
    <webPr sourceData="1" parsePre="1" consecutive="1" xl2000="1" url="http://investing.money.msn.com/investments/stock-price?Symbol=vz&amp;ocid=qbeb" htmlTables="1">
      <tables count="1">
        <x v="1"/>
      </tables>
    </webPr>
  </connection>
  <connection id="29" name="Connection34" type="4" refreshedVersion="3" background="1" saveData="1">
    <webPr sourceData="1" parsePre="1" consecutive="1" xl2000="1" url="http://investing.money.msn.com/investments/stock-price?Symbol=bx&amp;ocid=qbeb" htmlTables="1">
      <tables count="1">
        <x v="1"/>
      </tables>
    </webPr>
  </connection>
  <connection id="30" name="Connection35" type="4" refreshedVersion="3" background="1" saveData="1">
    <webPr sourceData="1" parsePre="1" consecutive="1" xl2000="1" url="http://investing.money.msn.com/investments/stock-price?Symbol=roic&amp;ocid=qbeb" htmlTables="1">
      <tables count="1">
        <x v="1"/>
      </tables>
    </webPr>
  </connection>
  <connection id="31" name="Connection36" type="4" refreshedVersion="3" background="1" saveData="1">
    <webPr sourceData="1" parsePre="1" consecutive="1" xl2000="1" url="http://investing.money.msn.com/investments/etf-list/?symbol=fxa&amp;ocid=qbeb" htmlTables="1">
      <tables count="1">
        <x v="1"/>
      </tables>
    </webPr>
  </connection>
  <connection id="32" name="Connection37" type="4" refreshedVersion="3" background="1" saveData="1">
    <webPr sourceData="1" parsePre="1" consecutive="1" xl2000="1" url="http://investing.money.msn.com/investments/etf-list/?symbol=fxc&amp;ocid=qbeb" htmlTables="1">
      <tables count="1">
        <x v="1"/>
      </tables>
    </webPr>
  </connection>
  <connection id="33" name="Connection38" type="4" refreshedVersion="3" background="1" saveData="1">
    <webPr sourceData="1" parsePre="1" consecutive="1" xl2000="1" url="http://investing.money.msn.com/investments/etf-list/?symbol=fxe&amp;ocid=qbeb" htmlTables="1">
      <tables count="1">
        <x v="1"/>
      </tables>
    </webPr>
  </connection>
  <connection id="34" name="Connection39" type="4" refreshedVersion="3" background="1" saveData="1">
    <webPr sourceData="1" parsePre="1" consecutive="1" xl2000="1" url="http://investing.money.msn.com/investments/etf-list/?symbol=fxf&amp;ocid=qbeb" htmlTables="1">
      <tables count="1">
        <x v="1"/>
      </tables>
    </webPr>
  </connection>
  <connection id="35" name="Connection4" type="4" refreshedVersion="3" background="1" saveData="1">
    <webPr sourceData="1" parsePre="1" consecutive="1" xl2000="1" url="http://investing.money.msn.com/investments/stock-price?Symbol=gd&amp;ocid=qbeb" htmlTables="1">
      <tables count="1">
        <x v="1"/>
      </tables>
    </webPr>
  </connection>
  <connection id="36" name="Connection40" type="4" refreshedVersion="3" background="1" saveData="1">
    <webPr sourceData="1" parsePre="1" consecutive="1" xl2000="1" url="http://investing.money.msn.com/investments/etf-list/?symbol=fxy&amp;ocid=qbeb" htmlTables="1">
      <tables count="1">
        <x v="1"/>
      </tables>
    </webPr>
  </connection>
  <connection id="37" name="Connection41" type="4" refreshedVersion="3" background="1" saveData="1">
    <webPr sourceData="1" parsePre="1" consecutive="1" xl2000="1" url="http://investing.money.msn.com/investments/stock-price?Symbol=kmp&amp;ocid=qbeb" htmlTables="1">
      <tables count="1">
        <x v="1"/>
      </tables>
    </webPr>
  </connection>
  <connection id="38" name="Connection42" type="4" refreshedVersion="3" background="1" saveData="1">
    <webPr sourceData="1" parsePre="1" consecutive="1" xl2000="1" url="http://investing.money.msn.com/investments/etf-list/?symbol=slv&amp;ocid=qbeb" htmlTables="1">
      <tables count="1">
        <x v="1"/>
      </tables>
    </webPr>
  </connection>
  <connection id="39" name="Connection43" type="4" refreshedVersion="3" background="1" saveData="1">
    <webPr sourceData="1" parsePre="1" consecutive="1" xl2000="1" url="http://investing.money.msn.com/investments/etf-list/?symbol=gld&amp;ocid=qbeb" htmlTables="1">
      <tables count="1">
        <x v="1"/>
      </tables>
    </webPr>
  </connection>
  <connection id="40" name="Connection44" type="4" refreshedVersion="3" background="1" saveData="1">
    <webPr sourceData="1" parsePre="1" consecutive="1" xl2000="1" url="http://investing.money.msn.com/investments/stock-price?Symbol=gldd&amp;ocid=qbeb" htmlTables="1">
      <tables count="1">
        <x v="1"/>
      </tables>
    </webPr>
  </connection>
  <connection id="41" name="Connection45" type="4" refreshedVersion="3" background="1" saveData="1">
    <webPr sourceData="1" parsePre="1" consecutive="1" xl2000="1" url="http://investing.money.msn.com/investments/stock-price?Symbol=axp&amp;ocid=qbeb" htmlTables="1">
      <tables count="1">
        <x v="1"/>
      </tables>
    </webPr>
  </connection>
  <connection id="42" name="Connection46" type="4" refreshedVersion="3" background="1" saveData="1">
    <webPr sourceData="1" parsePre="1" consecutive="1" xl2000="1" url="http://investing.money.msn.com/investments/stock-price?Symbol=wfc&amp;ocid=qbeb" htmlTables="1">
      <tables count="1">
        <x v="1"/>
      </tables>
    </webPr>
  </connection>
  <connection id="43" name="Connection47" type="4" refreshedVersion="3" background="1" saveData="1">
    <webPr sourceData="1" parsePre="1" consecutive="1" xl2000="1" url="http://investing.money.msn.com/investments/stock-price?Symbol=pars&amp;ocid=qbeb" htmlTables="1">
      <tables count="1">
        <x v="1"/>
      </tables>
    </webPr>
  </connection>
  <connection id="44" name="Connection48" type="4" refreshedVersion="3" background="1" saveData="1">
    <webPr sourceData="1" parsePre="1" consecutive="1" xl2000="1" url="http://investing.money.msn.com/investments/stock-price?Symbol=depo&amp;ocid=qbeb" htmlTables="1">
      <tables count="1">
        <x v="1"/>
      </tables>
    </webPr>
  </connection>
  <connection id="45" name="Connection49" type="4" refreshedVersion="3" background="1" saveData="1">
    <webPr sourceData="1" parsePre="1" consecutive="1" xl2000="1" url="http://investing.money.msn.com/investments/stock-price?Symbol=infu&amp;ocid=qbeb" htmlTables="1">
      <tables count="1">
        <x v="1"/>
      </tables>
    </webPr>
  </connection>
  <connection id="46" name="Connection5" type="4" refreshedVersion="3" background="1" saveData="1">
    <webPr sourceData="1" parsePre="1" consecutive="1" xl2000="1" url="http://investing.money.msn.com/investments/stock-price?Symbol=jny&amp;ocid=qbeb" htmlTables="1">
      <tables count="1">
        <x v="1"/>
      </tables>
    </webPr>
  </connection>
  <connection id="47" name="Connection50" type="4" refreshedVersion="3" background="1" saveData="1">
    <webPr sourceData="1" parsePre="1" consecutive="1" xl2000="1" url="http://investing.money.msn.com/investments/stock-price?Symbol=aln&amp;ocid=qbeb" htmlTables="1">
      <tables count="1">
        <x v="1"/>
      </tables>
    </webPr>
  </connection>
  <connection id="48" name="Connection51" type="4" refreshedVersion="3" background="1" saveData="1">
    <webPr sourceData="1" parsePre="1" consecutive="1" xl2000="1" url="http://investing.money.msn.com/investments/stock-price?Symbol=dcth&amp;ocid=qbeb" htmlTables="1">
      <tables count="1">
        <x v="1"/>
      </tables>
    </webPr>
  </connection>
  <connection id="49" name="Connection52" type="4" refreshedVersion="3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50" name="Connection53" type="4" refreshedVersion="3" background="1" saveData="1">
    <webPr sourceData="1" parsePre="1" consecutive="1" xl2000="1" url="http://investing.money.msn.com/investments/stock-price?Symbol=npsp&amp;ocid=qbeb" htmlTables="1">
      <tables count="1">
        <x v="1"/>
      </tables>
    </webPr>
  </connection>
  <connection id="51" name="Connection54" type="4" refreshedVersion="3" background="1" saveData="1">
    <webPr sourceData="1" parsePre="1" consecutive="1" xl2000="1" url="http://investing.money.msn.com/investments/stock-price?Symbol=cbrx&amp;ocid=qbeb" htmlTables="1">
      <tables count="1">
        <x v="1"/>
      </tables>
    </webPr>
  </connection>
  <connection id="52" name="Connection55" type="4" refreshedVersion="3" background="1" saveData="1">
    <webPr sourceData="1" parsePre="1" consecutive="1" xl2000="1" url="http://investing.money.msn.com/investments/stock-price?Symbol=cvv&amp;ocid=qbeb" htmlTables="1">
      <tables count="1">
        <x v="1"/>
      </tables>
    </webPr>
  </connection>
  <connection id="53" name="Connection56" type="4" refreshedVersion="3" background="1" saveData="1">
    <webPr sourceData="1" parsePre="1" consecutive="1" xl2000="1" url="http://investing.money.msn.com/investments/stock-price?Symbol=mrtx&amp;ocid=qbeb" htmlTables="1">
      <tables count="1">
        <x v="1"/>
      </tables>
    </webPr>
  </connection>
  <connection id="54" name="Connection57" type="4" refreshedVersion="3" background="1" saveData="1">
    <webPr sourceData="1" parsePre="1" consecutive="1" xl2000="1" url="http://investing.money.msn.com/investments/stock-price?Symbol=ttnp&amp;ocid=qbeb" htmlTables="1">
      <tables count="1">
        <x v="1"/>
      </tables>
    </webPr>
  </connection>
  <connection id="55" name="Connection58" type="4" refreshedVersion="3" background="1" saveData="1">
    <webPr sourceData="1" parsePre="1" consecutive="1" xl2000="1" url="http://investing.money.msn.com/investments/stock-price?Symbol=dvax&amp;ocid=qbeb" htmlTables="1">
      <tables count="1">
        <x v="1"/>
      </tables>
    </webPr>
  </connection>
  <connection id="56" name="Connection59" type="4" refreshedVersion="3" background="1" saveData="1">
    <webPr sourceData="1" parsePre="1" consecutive="1" xl2000="1" url="http://investing.money.msn.com/investments/stock-price?Symbol=siga&amp;ocid=qbeb" htmlTables="1">
      <tables count="1">
        <x v="1"/>
      </tables>
    </webPr>
  </connection>
  <connection id="57" name="Connection6" type="4" refreshedVersion="3" background="1" saveData="1">
    <webPr sourceData="1" parsePre="1" consecutive="1" xl2000="1" url="http://investing.money.msn.com/investments/stock-price?Symbol=usb&amp;ocid=qbeb" htmlTables="1">
      <tables count="1">
        <x v="1"/>
      </tables>
    </webPr>
  </connection>
  <connection id="58" name="Connection60" type="4" refreshedVersion="3" background="1" saveData="1">
    <webPr sourceData="1" parsePre="1" consecutive="1" xl2000="1" url="http://investing.money.msn.com/investments/stock-price?Symbol=alu&amp;ocid=qbeb" htmlTables="1">
      <tables count="1">
        <x v="1"/>
      </tables>
    </webPr>
  </connection>
  <connection id="59" name="Connection61" type="4" refreshedVersion="3" background="1" saveData="1">
    <webPr sourceData="1" parsePre="1" consecutive="1" xl2000="1" url="http://investing.money.msn.com/investments/stock-price?Symbol=smbc&amp;ocid=qbeb" htmlTables="1">
      <tables count="1">
        <x v="1"/>
      </tables>
    </webPr>
  </connection>
  <connection id="60" name="Connection62" type="4" refreshedVersion="3" background="1" saveData="1">
    <webPr sourceData="1" parsePre="1" consecutive="1" xl2000="1" url="http://investing.money.msn.com/investments/stock-price?Symbol=bkutk&amp;ocid=qbeb" htmlTables="1">
      <tables count="1">
        <x v="1"/>
      </tables>
    </webPr>
  </connection>
  <connection id="61" name="Connection63" type="4" refreshedVersion="3" background="1" saveData="1">
    <webPr sourceData="1" parsePre="1" consecutive="1" xl2000="1" url="http://investing.money.msn.com/investments/stock-price?Symbol=paa&amp;ocid=qbeb" htmlTables="1">
      <tables count="1">
        <x v="1"/>
      </tables>
    </webPr>
  </connection>
  <connection id="62" name="Connection64" type="4" refreshedVersion="3" background="1" saveData="1">
    <webPr sourceData="1" parsePre="1" consecutive="1" xl2000="1" url="http://investing.money.msn.com/investments/stock-price?Symbol=oks&amp;ocid=qbeb" htmlTables="1">
      <tables count="1">
        <x v="1"/>
      </tables>
    </webPr>
  </connection>
  <connection id="63" name="Connection65" type="4" refreshedVersion="3" background="1" saveData="1">
    <webPr sourceData="1" parsePre="1" consecutive="1" xl2000="1" url="http://investing.money.msn.com/investments/stock-price?Symbol=mwe&amp;ocid=qbeb" htmlTables="1">
      <tables count="1">
        <x v="1"/>
      </tables>
    </webPr>
  </connection>
  <connection id="64" name="Connection66" type="4" refreshedVersion="3" background="1" saveData="1">
    <webPr sourceData="1" parsePre="1" consecutive="1" xl2000="1" url="http://investing.money.msn.com/investments/stock-price?Symbol=pvr&amp;ocid=qbeb" htmlTables="1">
      <tables count="1">
        <x v="1"/>
      </tables>
    </webPr>
  </connection>
  <connection id="65" name="Connection67" type="4" refreshedVersion="3" background="1" saveData="1">
    <webPr sourceData="1" parsePre="1" consecutive="1" xl2000="1" url="http://investing.money.msn.com/investments/stock-price?Symbol=too&amp;ocid=qbeb" htmlTables="1">
      <tables count="1">
        <x v="1"/>
      </tables>
    </webPr>
  </connection>
  <connection id="66" name="Connection68" type="4" refreshedVersion="3" background="1" saveData="1">
    <webPr sourceData="1" parsePre="1" consecutive="1" xl2000="1" url="http://investing.money.msn.com/investments/stock-price?symbol=cmlp&amp;ocid=qbeb" htmlTables="1">
      <tables count="1">
        <x v="1"/>
      </tables>
    </webPr>
  </connection>
  <connection id="67" name="Connection69" type="4" refreshedVersion="3" background="1" saveData="1">
    <webPr sourceData="1" parsePre="1" consecutive="1" xl2000="1" url="http://investing.money.msn.com/investments/stock-price?Symbol=etrm&amp;ocid=qbeb" htmlTables="1">
      <tables count="1">
        <x v="1"/>
      </tables>
    </webPr>
  </connection>
  <connection id="68" name="Connection7" type="4" refreshedVersion="3" background="1" saveData="1">
    <webPr sourceData="1" parsePre="1" consecutive="1" xl2000="1" url="http://investing.money.msn.com/investments/stock-price?Symbol=vno&amp;ocid=qbeb" htmlTables="1">
      <tables count="1">
        <x v="1"/>
      </tables>
    </webPr>
  </connection>
  <connection id="69" name="Connection70" type="4" refreshedVersion="3" background="1" saveData="1">
    <webPr sourceData="1" parsePre="1" consecutive="1" xl2000="1" url="http://investing.money.msn.com/investments/stock-price?Symbol=soda&amp;ocid=qbeb" htmlTables="1">
      <tables count="1">
        <x v="1"/>
      </tables>
    </webPr>
  </connection>
  <connection id="70" name="Connection71" type="4" refreshedVersion="3" background="1" saveData="1">
    <webPr sourceData="1" parsePre="1" consecutive="1" xl2000="1" url="http://investing.money.msn.com/investments/stock-price?Symbol=kyth&amp;ocid=qbeb" htmlTables="1">
      <tables count="1">
        <x v="1"/>
      </tables>
    </webPr>
  </connection>
  <connection id="71" name="Connection72" type="4" refreshedVersion="3" background="1" saveData="1">
    <webPr sourceData="1" parsePre="1" consecutive="1" xl2000="1" url="http://investing.money.msn.com/investments/stock-price?Symbol=nktr&amp;ocid=qbeb" htmlTables="1">
      <tables count="1">
        <x v="1"/>
      </tables>
    </webPr>
  </connection>
  <connection id="72" name="Connection73" type="4" refreshedVersion="3" background="1" saveData="1">
    <webPr sourceData="1" parsePre="1" consecutive="1" xl2000="1" url="http://investing.money.msn.com/investments/stock-price?Symbol=boref&amp;ocid=qbeb" htmlTables="1">
      <tables count="1">
        <x v="1"/>
      </tables>
    </webPr>
  </connection>
  <connection id="73" name="Connection74" type="4" refreshedVersion="3" background="1" saveData="1">
    <webPr sourceData="1" parsePre="1" consecutive="1" xl2000="1" url="http://investing.money.msn.com/investments/stock-price?Symbol=roicw&amp;ocid=qbeb" htmlTables="1">
      <tables count="1">
        <x v="1"/>
      </tables>
    </webPr>
  </connection>
  <connection id="74" name="Connection75" type="4" refreshedVersion="3" background="1" saveData="1">
    <webPr sourceData="1" parsePre="1" consecutive="1" xl2000="1" url="http://investing.money.msn.com/investments/etf-list/?symbol=spy&amp;ocid=qbeb" htmlTables="1">
      <tables count="1">
        <x v="1"/>
      </tables>
    </webPr>
  </connection>
  <connection id="75" name="Connection76" type="4" refreshedVersion="3" background="1" saveData="1">
    <webPr sourceData="1" parsePre="1" consecutive="1" xl2000="1" url="http://investing.money.msn.com/investments/stock-price?Symbol=cisg&amp;ocid=qbeb" htmlTables="1">
      <tables count="1">
        <x v="1"/>
      </tables>
    </webPr>
  </connection>
  <connection id="76" name="Connection8" type="4" refreshedVersion="3" background="1" saveData="1">
    <webPr sourceData="1" parsePre="1" consecutive="1" xl2000="1" url="http://investing.money.msn.com/investments/stock-price?Symbol=bfs&amp;ocid=qbeb" htmlTables="1">
      <tables count="1">
        <x v="1"/>
      </tables>
    </webPr>
  </connection>
  <connection id="77" name="Connection9" type="4" refreshedVersion="3" background="1" saveData="1">
    <webPr sourceData="1" parsePre="1" consecutive="1" xl2000="1" url="http://investing.money.msn.com/investments/mutual-fund-rates/?symbol=vgsix&amp;ocid=qbeb" htmlTables="1">
      <tables count="1">
        <s v="details"/>
      </tables>
    </webPr>
  </connection>
</connections>
</file>

<file path=xl/sharedStrings.xml><?xml version="1.0" encoding="utf-8"?>
<sst xmlns="http://schemas.openxmlformats.org/spreadsheetml/2006/main" count="2411" uniqueCount="648">
  <si>
    <t>Symbol</t>
  </si>
  <si>
    <t>Name</t>
  </si>
  <si>
    <t>Recommendation</t>
  </si>
  <si>
    <t>Years</t>
  </si>
  <si>
    <t>Date of Recommendation</t>
  </si>
  <si>
    <t>Price on Date of Recommendation</t>
  </si>
  <si>
    <t>Link to Recommendation</t>
  </si>
  <si>
    <t>Result of $1,000 Initial Investment</t>
  </si>
  <si>
    <t>T. Rowe Price Global Stock Fund</t>
  </si>
  <si>
    <t>PRGSX</t>
  </si>
  <si>
    <t>Buy</t>
  </si>
  <si>
    <t>http://www.andrewtobias.com/bkoldcolumns/961226.html</t>
  </si>
  <si>
    <t xml:space="preserve">NCR </t>
  </si>
  <si>
    <t>NCR Corporation</t>
  </si>
  <si>
    <t>http://www.andrewtobias.com/bkoldcolumns/970109.html</t>
  </si>
  <si>
    <t>Total Split Factor</t>
  </si>
  <si>
    <t>Notes</t>
  </si>
  <si>
    <t>spun off Teradata in 2007; assumes holding Teradata stock</t>
  </si>
  <si>
    <t>AFC (Bangcock)</t>
  </si>
  <si>
    <t>Asia Fiber</t>
  </si>
  <si>
    <t>IDTI</t>
  </si>
  <si>
    <t>Integrated Device Technology</t>
  </si>
  <si>
    <t>GM</t>
  </si>
  <si>
    <t>General Motors</t>
  </si>
  <si>
    <t>AMZN</t>
  </si>
  <si>
    <t>Amazon.com</t>
  </si>
  <si>
    <t>Short</t>
  </si>
  <si>
    <t>BOREF</t>
  </si>
  <si>
    <t>Borealis</t>
  </si>
  <si>
    <t>CN</t>
  </si>
  <si>
    <t>Calton Homes</t>
  </si>
  <si>
    <t>BTH</t>
  </si>
  <si>
    <t>Blyth</t>
  </si>
  <si>
    <t>GD</t>
  </si>
  <si>
    <t>General Dynamics</t>
  </si>
  <si>
    <t>JNY</t>
  </si>
  <si>
    <t>Jones Apparel</t>
  </si>
  <si>
    <t>USB</t>
  </si>
  <si>
    <t>US Bancorp</t>
  </si>
  <si>
    <t>VNO</t>
  </si>
  <si>
    <t>Vornado</t>
  </si>
  <si>
    <t>BFS</t>
  </si>
  <si>
    <t>BF Saul</t>
  </si>
  <si>
    <t>VGSIX</t>
  </si>
  <si>
    <t>Vanguard REIT Index</t>
  </si>
  <si>
    <t>MSFT</t>
  </si>
  <si>
    <t>Microsoft</t>
  </si>
  <si>
    <t>MCK</t>
  </si>
  <si>
    <t>McKesson</t>
  </si>
  <si>
    <t>CSPLF</t>
  </si>
  <si>
    <t>Canadian Southern Petroleum</t>
  </si>
  <si>
    <t>CMM</t>
  </si>
  <si>
    <t>Crimii Mae</t>
  </si>
  <si>
    <t>NPK</t>
  </si>
  <si>
    <t>National Presto Kit</t>
  </si>
  <si>
    <t>JNPR</t>
  </si>
  <si>
    <t>Juniper Networks</t>
  </si>
  <si>
    <t>MVC</t>
  </si>
  <si>
    <t>MVC Capital</t>
  </si>
  <si>
    <t>Great Atlantic &amp; Pacific Preferred</t>
  </si>
  <si>
    <t>GAJ</t>
  </si>
  <si>
    <t>BA</t>
  </si>
  <si>
    <t>Boeing</t>
  </si>
  <si>
    <t>AMR</t>
  </si>
  <si>
    <t>American Airlines</t>
  </si>
  <si>
    <t>United Airlines</t>
  </si>
  <si>
    <t>UAL</t>
  </si>
  <si>
    <t>HMC</t>
  </si>
  <si>
    <t>Honda Motor</t>
  </si>
  <si>
    <t>AN</t>
  </si>
  <si>
    <t>Autonation</t>
  </si>
  <si>
    <t>BMRN</t>
  </si>
  <si>
    <t>Pharmaceuticals</t>
  </si>
  <si>
    <t>C</t>
  </si>
  <si>
    <t>Citigroup</t>
  </si>
  <si>
    <t>EPN</t>
  </si>
  <si>
    <t>JNJ</t>
  </si>
  <si>
    <t>Johnson &amp; Johnson</t>
  </si>
  <si>
    <t>MRK</t>
  </si>
  <si>
    <t>Merck</t>
  </si>
  <si>
    <t>NTII</t>
  </si>
  <si>
    <t>Neurobiological Technologies</t>
  </si>
  <si>
    <t>EMIS</t>
  </si>
  <si>
    <t>Emisphere Technologies</t>
  </si>
  <si>
    <t>HGSI</t>
  </si>
  <si>
    <t>Human Genome Sciences</t>
  </si>
  <si>
    <t>NLY</t>
  </si>
  <si>
    <t>Annaly</t>
  </si>
  <si>
    <t>PCG</t>
  </si>
  <si>
    <t>PG&amp;E</t>
  </si>
  <si>
    <t>SNE</t>
  </si>
  <si>
    <t>Sony</t>
  </si>
  <si>
    <t>PCL</t>
  </si>
  <si>
    <t>Plum Creek Timber</t>
  </si>
  <si>
    <t>CICI</t>
  </si>
  <si>
    <t>ILA</t>
  </si>
  <si>
    <t>Communication Intelligence</t>
  </si>
  <si>
    <t>Sold 1/3 for 63 cents and 1/3 for 98 cents</t>
  </si>
  <si>
    <t>EPD</t>
  </si>
  <si>
    <t>Enterprise Products Partners</t>
  </si>
  <si>
    <t>FGP</t>
  </si>
  <si>
    <t>Ferrelgas Partners</t>
  </si>
  <si>
    <t>APC</t>
  </si>
  <si>
    <t>Anadarko Petroleum</t>
  </si>
  <si>
    <t>SYM</t>
  </si>
  <si>
    <t>Syms</t>
  </si>
  <si>
    <t>TXCO</t>
  </si>
  <si>
    <t>YUKOY</t>
  </si>
  <si>
    <t>Yukos</t>
  </si>
  <si>
    <t>ARC (REIT)</t>
  </si>
  <si>
    <t>recommend sell half up 49% on 11/29/04</t>
  </si>
  <si>
    <t>KF</t>
  </si>
  <si>
    <t>Korea Fund</t>
  </si>
  <si>
    <t>Comcast</t>
  </si>
  <si>
    <t>AXP</t>
  </si>
  <si>
    <t>American Express</t>
  </si>
  <si>
    <t>$1 dividend. Maybe sell half for $14 6/23/2005</t>
  </si>
  <si>
    <t>CBH</t>
  </si>
  <si>
    <t>DD</t>
  </si>
  <si>
    <t>Dupont</t>
  </si>
  <si>
    <t>GE</t>
  </si>
  <si>
    <t>General Electric</t>
  </si>
  <si>
    <t>LEA</t>
  </si>
  <si>
    <t>sell 1/3/2006 down 30% with dividends included</t>
  </si>
  <si>
    <t>WMT</t>
  </si>
  <si>
    <t>Walmart</t>
  </si>
  <si>
    <t>sell half @6.56 on 9/29/05 but then retracted so don't count; sell 3/4 at 11.11 on 2/7/2006</t>
  </si>
  <si>
    <t>FMD</t>
  </si>
  <si>
    <t>First Marblehead</t>
  </si>
  <si>
    <t>VZ</t>
  </si>
  <si>
    <t>Verizon</t>
  </si>
  <si>
    <t>Bought out at 13.10 10/18/2006</t>
  </si>
  <si>
    <t>sell half 7/7/2006 for 10.64; bought out at 13.10 10/18/2006</t>
  </si>
  <si>
    <t>sold some 4/26/07</t>
  </si>
  <si>
    <t>Washington Mutual</t>
  </si>
  <si>
    <t>BX</t>
  </si>
  <si>
    <t>TRBR</t>
  </si>
  <si>
    <t>Travel Bridge</t>
  </si>
  <si>
    <t>BZ</t>
  </si>
  <si>
    <t>RSW</t>
  </si>
  <si>
    <t>CPNO</t>
  </si>
  <si>
    <t>ALTU</t>
  </si>
  <si>
    <t>Landry's Restaurant</t>
  </si>
  <si>
    <t>SDS</t>
  </si>
  <si>
    <t>TBT</t>
  </si>
  <si>
    <t>sell half 10/10/2008; sell rest for 140 12/31/2008</t>
  </si>
  <si>
    <t>sell 1/5/2009</t>
  </si>
  <si>
    <t>GLDD</t>
  </si>
  <si>
    <t>WFC</t>
  </si>
  <si>
    <t>TKF</t>
  </si>
  <si>
    <t>sell half 4/10/2009</t>
  </si>
  <si>
    <t>CRTX</t>
  </si>
  <si>
    <t>sold some/all 5/20/2009</t>
  </si>
  <si>
    <t>sell for 68 cents 6/11/2009</t>
  </si>
  <si>
    <t>INCY</t>
  </si>
  <si>
    <t>re-recommend; sell 6/15/2009 on Barrons pan with hope of rebuying lower</t>
  </si>
  <si>
    <t>sell 6/24/2009</t>
  </si>
  <si>
    <t>PARS</t>
  </si>
  <si>
    <t>PRGX</t>
  </si>
  <si>
    <t>sold 7/28/2009</t>
  </si>
  <si>
    <t>AVNR</t>
  </si>
  <si>
    <t>JAV</t>
  </si>
  <si>
    <t>sell half 8/24/2009; sell rest? 10/1/2009</t>
  </si>
  <si>
    <t>DEPO</t>
  </si>
  <si>
    <t>sell half 8/5/2009; sell rest 10/15/2009</t>
  </si>
  <si>
    <t>DNDN</t>
  </si>
  <si>
    <t>20 jan 2011 puts</t>
  </si>
  <si>
    <t>buy</t>
  </si>
  <si>
    <t>DYAX</t>
  </si>
  <si>
    <t>INHI</t>
  </si>
  <si>
    <t>GLD</t>
  </si>
  <si>
    <t>ALN</t>
  </si>
  <si>
    <t>BRCI</t>
  </si>
  <si>
    <t>sold 1/8/2010</t>
  </si>
  <si>
    <t>DCTH</t>
  </si>
  <si>
    <t>NBIX</t>
  </si>
  <si>
    <t>ROIC</t>
  </si>
  <si>
    <t>sell half 7/2/2009; sell a little more 10/8/2009 sell rest 4/19/2010</t>
  </si>
  <si>
    <t>SLV</t>
  </si>
  <si>
    <t>sold 9/8/2010</t>
  </si>
  <si>
    <t>DFZ</t>
  </si>
  <si>
    <t>TTT</t>
  </si>
  <si>
    <t>sell? 9/28/2010. definitively sell 10/5/2010</t>
  </si>
  <si>
    <t>AFOP(D)</t>
  </si>
  <si>
    <t>ALXA</t>
  </si>
  <si>
    <t>KERX</t>
  </si>
  <si>
    <t>NPSP</t>
  </si>
  <si>
    <t>OSIR</t>
  </si>
  <si>
    <t>VVUS</t>
  </si>
  <si>
    <t>SUPG</t>
  </si>
  <si>
    <t>CRME</t>
  </si>
  <si>
    <t>YMI</t>
  </si>
  <si>
    <t>sell half 10/29/2010; sell half 12/7/2010; sell more 1/6/2011</t>
  </si>
  <si>
    <t>FVVAX</t>
  </si>
  <si>
    <t>FNSAX</t>
  </si>
  <si>
    <t>FNVAX</t>
  </si>
  <si>
    <t>FNAAX</t>
  </si>
  <si>
    <t>sell 1/4? 3/8/2010; sell more 10/14/2010; sell 1/13/2011; sell 2/2/2011</t>
  </si>
  <si>
    <t>sell 1/3 11/10/2010; sell 2/9/2011</t>
  </si>
  <si>
    <t>CBRX</t>
  </si>
  <si>
    <t>sell half 11/23/2010; sell rest 2/18/2011</t>
  </si>
  <si>
    <t>CVV</t>
  </si>
  <si>
    <t>AMRN</t>
  </si>
  <si>
    <t>sell some 4/13/2011</t>
  </si>
  <si>
    <t>FCSC</t>
  </si>
  <si>
    <t>NABI</t>
  </si>
  <si>
    <t>put in a good til cancel order to sell some at 18.50; sell half 4/28/2011; sell rest 6/3/2011</t>
  </si>
  <si>
    <t>re-recommend</t>
  </si>
  <si>
    <t>sell 6/27/2011</t>
  </si>
  <si>
    <t>TTNP</t>
  </si>
  <si>
    <t>DVAX</t>
  </si>
  <si>
    <t>SIGA</t>
  </si>
  <si>
    <t>ALU</t>
  </si>
  <si>
    <t>ITMN</t>
  </si>
  <si>
    <t>sell 9/22/2011</t>
  </si>
  <si>
    <t>SMBC</t>
  </si>
  <si>
    <t>sell? 10/28/2011</t>
  </si>
  <si>
    <t>sell 11/18/2011</t>
  </si>
  <si>
    <t>sell 12/13/2011</t>
  </si>
  <si>
    <t>changed to ASDX; sold 1/31/2012</t>
  </si>
  <si>
    <t>sell 1/31/2012</t>
  </si>
  <si>
    <t>BKUTK</t>
  </si>
  <si>
    <t>sell 2/16/2012</t>
  </si>
  <si>
    <t>sell 3/6/2012</t>
  </si>
  <si>
    <t>http://andrewtobias.com/column/boeing-bangkok-buddha-part-i/</t>
  </si>
  <si>
    <t>Assuming sell half for $20 (double) and half for $40</t>
  </si>
  <si>
    <t>http://andrewtobias.com/column/an-idti-bit-of-hindsight/</t>
  </si>
  <si>
    <t>Cover 5/28/1999</t>
  </si>
  <si>
    <t>http://andrewtobias.com/column/amazonstratosphere/</t>
  </si>
  <si>
    <t>http://andrewtobias.com/column/amazons-little-uptick/</t>
  </si>
  <si>
    <t>http://andrewtobias.com/column/where-do-you-find-a-company-like-dep/</t>
  </si>
  <si>
    <t>Assume sell half at 2.50 and half at 4</t>
  </si>
  <si>
    <t>http://andrewtobias.com/column/a-stock-thats/</t>
  </si>
  <si>
    <t>LOL</t>
  </si>
  <si>
    <t>http://andrewtobias.com/column/five-stocks-you-should-consider/</t>
  </si>
  <si>
    <t>shares purchased</t>
  </si>
  <si>
    <t>Dividends</t>
  </si>
  <si>
    <t>Value of Spinoffs</t>
  </si>
  <si>
    <t>% Return</t>
  </si>
  <si>
    <t>Annualized % Return</t>
  </si>
  <si>
    <t>YCC</t>
  </si>
  <si>
    <t>Yankee Candle</t>
  </si>
  <si>
    <t>Acquired for 34.75 cash 10/25/2006</t>
  </si>
  <si>
    <t>http://andrewtobias.com/column/real-estate-investment-trusts/</t>
  </si>
  <si>
    <t>Cover 6/26/2000</t>
  </si>
  <si>
    <t>http://andrewtobias.com/column/whats-170-worth/</t>
  </si>
  <si>
    <t>http://andrewtobias.com/column/who-wants-to-be-a-millionaire/</t>
  </si>
  <si>
    <t>bought out for $20 10/6/2005</t>
  </si>
  <si>
    <t>http://andrewtobias.com/column/how-to-de-seed-watermelon/</t>
  </si>
  <si>
    <t>http://andrewtobias.com/column/the-market-collapse/</t>
  </si>
  <si>
    <t>http://andrewtobias.com/column/closed-end-funds-iii/</t>
  </si>
  <si>
    <t>NTMD</t>
  </si>
  <si>
    <t>NitroMed</t>
  </si>
  <si>
    <t>Blackstone</t>
  </si>
  <si>
    <t>Dividends and spinoffs of Raytheon, Hughes/DirecTV keep this from being a total loss</t>
  </si>
  <si>
    <t>http://andrewtobias.com/column/gm-card-lunacy/</t>
  </si>
  <si>
    <t>assume covering the following December at about $20 for a long term gain at a reasonable cover price</t>
  </si>
  <si>
    <t>sold 1/2/2002</t>
  </si>
  <si>
    <t>http://andrewtobias.com/column/kids-and-money/</t>
  </si>
  <si>
    <t>sold 3/14/2002</t>
  </si>
  <si>
    <t>http://andrewtobias.com/column/letter-from-an-afghan/</t>
  </si>
  <si>
    <t>http://andrewtobias.com/column/an-stock-to-consider/</t>
  </si>
  <si>
    <t>http://andrewtobias.com/column/three-little-speculations/</t>
  </si>
  <si>
    <t>sold 11/1/2002</t>
  </si>
  <si>
    <t>http://andrewtobias.com/column/time-to-nibble-i-bought-stocks-today/</t>
  </si>
  <si>
    <t>includes spinoff of medco which subsequently merged with express scripts</t>
  </si>
  <si>
    <t>http://andrewtobias.com/column/caesar-tivo-seasons-picks-aol/</t>
  </si>
  <si>
    <t>http://andrewtobias.com/column/time-to-rebalance/</t>
  </si>
  <si>
    <t>http://andrewtobias.com/column/a-1485-yield/</t>
  </si>
  <si>
    <t>http://andrewtobias.com/column/cell-hotelscom-buy-jet-blue/</t>
  </si>
  <si>
    <t>http://andrewtobias.com/column/and-now-a-word-or-two-about-money/</t>
  </si>
  <si>
    <t>http://andrewtobias.com/column/wood/</t>
  </si>
  <si>
    <t>http://andrewtobias.com/column/year-end-tax-selling-and-buying/</t>
  </si>
  <si>
    <t>sell 2/16/2004</t>
  </si>
  <si>
    <t>http://andrewtobias.com/column/buy-sell-marry/</t>
  </si>
  <si>
    <t>http://andrewtobias.com/column/if-you-own-no-oil-stocks/</t>
  </si>
  <si>
    <t>http://andrewtobias.com/column/where-to-put-your-money-now/</t>
  </si>
  <si>
    <t>http://andrewtobias.com/column/bombs-breasts-and-an-88-yield/</t>
  </si>
  <si>
    <t>http://andrewtobias.com/column/dont-mess-with-texas-really/</t>
  </si>
  <si>
    <t>ARC</t>
  </si>
  <si>
    <t>sell 10/15/2004</t>
  </si>
  <si>
    <t>CMCSA</t>
  </si>
  <si>
    <t>http://andrewtobias.com/column/finally-some-financial-advice/</t>
  </si>
  <si>
    <t>http://andrewtobias.com/column/visit-the-monkeysphere/</t>
  </si>
  <si>
    <t>http://andrewtobias.com/column/boring-money-stuff/</t>
  </si>
  <si>
    <t>Commerce Bancorp</t>
  </si>
  <si>
    <t>Lear Corp</t>
  </si>
  <si>
    <t>http://andrewtobias.com/column/good-deals-and-turkey-drippings/</t>
  </si>
  <si>
    <t>http://andrewtobias.com/column/how-do-the-locusts-know/</t>
  </si>
  <si>
    <t>http://andrewtobias.com/column/old-news-new-observations/</t>
  </si>
  <si>
    <t>http://andrewtobias.com/bkoldcolumns/060303.html</t>
  </si>
  <si>
    <t>sold half 7/11/2007; rebought half 8/28/2007. I'm simplifying by just adjusting the initial cost basis because the position was re-established so quickly</t>
  </si>
  <si>
    <t>sell half 9/30/2005; sell other half 8/28/2006</t>
  </si>
  <si>
    <t>http://andrewtobias.com/bkoldcolumns/060828.html</t>
  </si>
  <si>
    <t>WAMU</t>
  </si>
  <si>
    <t>http://andrewtobias.com/column/wamu-citi-and-chase/</t>
  </si>
  <si>
    <t>http://andrewtobias.com/column/equality/</t>
  </si>
  <si>
    <t>Inverse x 2 S&amp;P 500</t>
  </si>
  <si>
    <t>Boise Paper</t>
  </si>
  <si>
    <t>http://andrewtobias.com/column/spacs/</t>
  </si>
  <si>
    <t>http://andrewtobias.com/column/fight-fiercely-harvard/</t>
  </si>
  <si>
    <t>Copano Energy</t>
  </si>
  <si>
    <t>http://andrewtobias.com/column/well-you-asked/</t>
  </si>
  <si>
    <t>ProShares Ultra Short S&amp;P 500</t>
  </si>
  <si>
    <t>ProShares Ultra Short 20+ treas</t>
  </si>
  <si>
    <t>http://andrewtobias.com/column/tbt/</t>
  </si>
  <si>
    <t>iShares Silver</t>
  </si>
  <si>
    <t>http://andrewtobias.com/column/jitterbug/</t>
  </si>
  <si>
    <t>SPDR Gold shares</t>
  </si>
  <si>
    <t>Great Lakes Dredge &amp; Dock</t>
  </si>
  <si>
    <t>http://andrewtobias.com/column/simply-put/</t>
  </si>
  <si>
    <t>http://andrewtobias.com/column/the-world-may-not-end/</t>
  </si>
  <si>
    <t>Wells Fargo</t>
  </si>
  <si>
    <t>Turkish Fund</t>
  </si>
  <si>
    <t>http://andrewtobias.com/column/live-longer/</t>
  </si>
  <si>
    <t>Cornerstone Theraputics</t>
  </si>
  <si>
    <t>http://andrewtobias.com/column/money-thoughts/</t>
  </si>
  <si>
    <t>Incyte Corporation</t>
  </si>
  <si>
    <t>http://andrewtobias.com/column/this-bus-is-getting-crowded/</t>
  </si>
  <si>
    <t>http://andrewtobias.com/column/yesterday-3/</t>
  </si>
  <si>
    <t>Pharmos Corp</t>
  </si>
  <si>
    <t>http://andrewtobias.com/column/six-months/</t>
  </si>
  <si>
    <t>PRGX Global</t>
  </si>
  <si>
    <t>http://andrewtobias.com/column/oona/</t>
  </si>
  <si>
    <t>Avanir Pharmaceuticals</t>
  </si>
  <si>
    <t>http://andrewtobias.com/column/worried-but-enjoying-it/</t>
  </si>
  <si>
    <t>DepoMed</t>
  </si>
  <si>
    <t>http://andrewtobias.com/column/back-to-the-tea-party/</t>
  </si>
  <si>
    <t>http://andrewtobias.com/column/marching-in-dc-vibrating-in-alabama/</t>
  </si>
  <si>
    <t>http://andrewtobias.com/column/a-more-perfect-union-a-basket-of-speculations/</t>
  </si>
  <si>
    <t>Dyax Corp</t>
  </si>
  <si>
    <t>http://andrewtobias.com/column/sober-stuff/</t>
  </si>
  <si>
    <t>American Lorain Corp</t>
  </si>
  <si>
    <t>http://andrewtobias.com/column/citizens-for-apple-pie-and-motherhood/</t>
  </si>
  <si>
    <t>http://andrewtobias.com/column/optimism-2/</t>
  </si>
  <si>
    <t>Delcath Systems</t>
  </si>
  <si>
    <t>http://andrewtobias.com/column/tall-politicians/</t>
  </si>
  <si>
    <t>http://andrewtobias.com/column/liberals-for-deregulation/</t>
  </si>
  <si>
    <t>http://andrewtobias.com/column/huge-good-news/</t>
  </si>
  <si>
    <t>http://andrewtobias.com/column/vancouver-v-virginia/</t>
  </si>
  <si>
    <t>http://andrewtobias.com/column/a-little-light-music/</t>
  </si>
  <si>
    <t>Neurocrine Biosciences</t>
  </si>
  <si>
    <t>Retail Opportunity Inv Corp</t>
  </si>
  <si>
    <t>http://andrewtobias.com/column/as-if-you-had-any-money-left-you-could-truly-afford-to-lose/</t>
  </si>
  <si>
    <t>http://andrewtobias.com/column/brave-new-world/</t>
  </si>
  <si>
    <t>http://andrewtobias.com/column/must-see-pavement-tv/</t>
  </si>
  <si>
    <t>http://andrewtobias.com/column/all-17-newspaper-editorial-boards/</t>
  </si>
  <si>
    <t>http://andrewtobias.com/column/plouffe-lays-it-out/</t>
  </si>
  <si>
    <t>R.G. Barry Corporation</t>
  </si>
  <si>
    <t>Alliance Fiberoptic Products</t>
  </si>
  <si>
    <t>http://andrewtobias.com/column/confidence-and-taxes/</t>
  </si>
  <si>
    <t>Alexza Pharmaceuticals</t>
  </si>
  <si>
    <t>Keryx Biopharmaceuticals</t>
  </si>
  <si>
    <t>NSP Pharmaceuticals</t>
  </si>
  <si>
    <t>Osiris Theraputics Inc</t>
  </si>
  <si>
    <t>Vivus Inc</t>
  </si>
  <si>
    <t>changed to ASTX</t>
  </si>
  <si>
    <t>YM Biosciences</t>
  </si>
  <si>
    <t>http://andrewtobias.com/column/price-war/</t>
  </si>
  <si>
    <t>Formula Investing US Value 1000</t>
  </si>
  <si>
    <t>http://andrewtobias.com/column/four-mutual-funds/</t>
  </si>
  <si>
    <t>Formula Investing US Value Sel</t>
  </si>
  <si>
    <t>Formula Investing Intl Value 400</t>
  </si>
  <si>
    <t>Formula Investing Intl Value Sel</t>
  </si>
  <si>
    <t>Columbia Laboratories</t>
  </si>
  <si>
    <t>http://andrewtobias.com/column/if-ike-had-had-two-moms/</t>
  </si>
  <si>
    <t>CVD Equipment Corp</t>
  </si>
  <si>
    <t>http://andrewtobias.com/column/cvv-worth-1708/</t>
  </si>
  <si>
    <t>Amarin Corp</t>
  </si>
  <si>
    <t>http://andrewtobias.com/column/give-em-hell-frances/</t>
  </si>
  <si>
    <t>http://andrewtobias.com/column/the-republican-and-the-penny-stock/</t>
  </si>
  <si>
    <t>Fibrocell Sciences</t>
  </si>
  <si>
    <t>http://andrewtobias.com/column/would-warren-buffett-use-delta-bonus-miles-to-buy-fcsc/</t>
  </si>
  <si>
    <t>http://andrewtobias.com/column/a-mind-changing-tour-of-homewood-pa/</t>
  </si>
  <si>
    <t>Nabi Biopharmaceuticals</t>
  </si>
  <si>
    <t>http://andrewtobias.com/column/keep-the-faith/</t>
  </si>
  <si>
    <t>Titan Pharmaceuticals</t>
  </si>
  <si>
    <t>http://andrewtobias.com/column/listen/</t>
  </si>
  <si>
    <t>Dynavax Technologies</t>
  </si>
  <si>
    <t>http://andrewtobias.com/column/the-debate/</t>
  </si>
  <si>
    <t>sell half 8/25/2011</t>
  </si>
  <si>
    <t>SIGA Technologies</t>
  </si>
  <si>
    <t>http://andrewtobias.com/column/so-help/</t>
  </si>
  <si>
    <t>http://andrewtobias.com/column/barney/</t>
  </si>
  <si>
    <t>http://andrewtobias.com/column/sign-the-petition-let-fred-debate/</t>
  </si>
  <si>
    <t>Alcatel Lucent</t>
  </si>
  <si>
    <t>http://andrewtobias.com/column/a-brilliant-plan/</t>
  </si>
  <si>
    <t>Intermune</t>
  </si>
  <si>
    <t>http://andrewtobias.com/column/pep/</t>
  </si>
  <si>
    <t>http://andrewtobias.com/column/just-do-it-2/</t>
  </si>
  <si>
    <t>Southern Missouri Bankcorp</t>
  </si>
  <si>
    <t>http://andrewtobias.com/column/gross-and-buffett/</t>
  </si>
  <si>
    <t>http://andrewtobias.com/column/a-cuban-immigrant-in-the-top-1/</t>
  </si>
  <si>
    <t>http://andrewtobias.com/column/leadie-gaga-mud-bkutk/</t>
  </si>
  <si>
    <t>Bank of Utica</t>
  </si>
  <si>
    <t>http://andrewtobias.com/column/borealis-and-buttkick/</t>
  </si>
  <si>
    <t>http://andrewtobias.com/column/a-marines-mom-speaks/</t>
  </si>
  <si>
    <t>not as bad as it could have been thanks to some dividends and travelers spinoff</t>
  </si>
  <si>
    <t>NitroMed $30 December 2005 puts</t>
  </si>
  <si>
    <t>http://www.andrewtobias.com/newcolumns/050706.html</t>
  </si>
  <si>
    <t>AAPL</t>
  </si>
  <si>
    <t>Apple $20 LEAPS</t>
  </si>
  <si>
    <t>GOOG</t>
  </si>
  <si>
    <t>Google puts</t>
  </si>
  <si>
    <t>PPD</t>
  </si>
  <si>
    <t>Prepaid Legal LEAPS</t>
  </si>
  <si>
    <t>http://andrewtobias.com/column/if-the-world-is-ending-why-not-visit-paradise/</t>
  </si>
  <si>
    <t>http://andrewtobias.com/column/this-man-gets-on-a-bus/</t>
  </si>
  <si>
    <t>bought out for $1.80 plus .0856 shares of GXP</t>
  </si>
  <si>
    <t>Infusystem</t>
  </si>
  <si>
    <t>http://andrewtobias.com/column/appoplexy-and-infusystems/</t>
  </si>
  <si>
    <t>Walmart LEAPS</t>
  </si>
  <si>
    <t>http://www.andrewtobias.com/bkoldcolumns/110526.html</t>
  </si>
  <si>
    <t>Cardiome Pharma</t>
  </si>
  <si>
    <t>http://www.andrewtobias.com/bkoldcolumns/101110.html</t>
  </si>
  <si>
    <t>sell 3/26/2012</t>
  </si>
  <si>
    <t>http://andrewtobias.com/column/dead-peasants/</t>
  </si>
  <si>
    <t>http://andrewtobias.com/column/russia-china-chile-chad-this-diamond-fake-is-really-rad/</t>
  </si>
  <si>
    <t>If only we had bought calls</t>
  </si>
  <si>
    <t>http://www.andrewtobias.com/bkoldcolumns/041018.html</t>
  </si>
  <si>
    <t>El Paso Energy Partners -&gt; EPD</t>
  </si>
  <si>
    <t>Dendreon</t>
  </si>
  <si>
    <t>http://andrewtobias.com/column/blowback-and-the-jerusalem-post/</t>
  </si>
  <si>
    <t>http://www.andrewtobias.com/bkoldcolumns/031125.html</t>
  </si>
  <si>
    <t>http://andrewtobias.com/column/monet-manet-money-and-more/</t>
  </si>
  <si>
    <t>http://andrewtobias.com/column/a-catholic-reflects/</t>
  </si>
  <si>
    <t>http://andrewtobias.com/column/if-the-bank-fails-we-could-always-open-a-restaurant/</t>
  </si>
  <si>
    <t>http://andrewtobias.com/column/mud-paper-not-dollars-and-ambulatory-infusion-pumps/</t>
  </si>
  <si>
    <t>Wash Mutual Leaps</t>
  </si>
  <si>
    <t>http://andrewtobias.com/column/what-have-we-done/</t>
  </si>
  <si>
    <t>http://andrewtobias.com/column/create-your-own/</t>
  </si>
  <si>
    <t>add to position; suggest selling 1/3 2/28/2008 which I'm factoring by selling the 6/2006 shares. bankrupt 5/29/2009</t>
  </si>
  <si>
    <t>http://andrewtobias.com/column/bite-by-bite/</t>
  </si>
  <si>
    <t>http://andrewtobias.com/column/can-the-market-go-to-zero/</t>
  </si>
  <si>
    <t>LNY</t>
  </si>
  <si>
    <t>Taken private 7/20/2010</t>
  </si>
  <si>
    <t>Javelin Pharmaceuticals</t>
  </si>
  <si>
    <t>http://andrewtobias.com/column/organizing-for-your-iphone/</t>
  </si>
  <si>
    <t>http://andrewtobias.com/column/saving-lives-in-new-york/</t>
  </si>
  <si>
    <t>http://andrewtobias.com/bkoldcolumns/010604.html</t>
  </si>
  <si>
    <t>Aldabra Warrants</t>
  </si>
  <si>
    <t>ALBAW</t>
  </si>
  <si>
    <t>http://andrewtobias.com/column/mr-sabatins-dunums/</t>
  </si>
  <si>
    <t>http://andrewtobias.com/bkoldcolumns/060426.html</t>
  </si>
  <si>
    <t>Aldabra 2 Warrants</t>
  </si>
  <si>
    <t>http://andrewtobias.com/column/airplane-2/</t>
  </si>
  <si>
    <t>warrants converted and bounced around but between price of stock and restrictions ultimately expired worthless</t>
  </si>
  <si>
    <t>AIIWT</t>
  </si>
  <si>
    <t>NRDC</t>
  </si>
  <si>
    <t>NRDC NAQ Warrants</t>
  </si>
  <si>
    <t>http://www.andrewtobias.com/newcolumns/071123.html</t>
  </si>
  <si>
    <t>HAPN</t>
  </si>
  <si>
    <t>HAPN Warrants</t>
  </si>
  <si>
    <t>http://www.andrewtobias.com/newcolumns/070615.html</t>
  </si>
  <si>
    <t>BZ W</t>
  </si>
  <si>
    <t>Boise Paper Warrants</t>
  </si>
  <si>
    <t>sold most for 70 cents, sold most of rest for 1.20 to 1.40</t>
  </si>
  <si>
    <t>FXA</t>
  </si>
  <si>
    <t>Australian Dollar</t>
  </si>
  <si>
    <t>http://andrewtobias.com/column/phoning-for-2-cents-a-minute-instead-of-349/</t>
  </si>
  <si>
    <t>FXC</t>
  </si>
  <si>
    <t>FXE</t>
  </si>
  <si>
    <t>FXF</t>
  </si>
  <si>
    <t>FXY</t>
  </si>
  <si>
    <t>Canadian Dollar</t>
  </si>
  <si>
    <t>Euro</t>
  </si>
  <si>
    <t>Swiss Franc</t>
  </si>
  <si>
    <t>Japanese Yen</t>
  </si>
  <si>
    <t>JPM</t>
  </si>
  <si>
    <t>JP Morgan Puts</t>
  </si>
  <si>
    <t>QCOR</t>
  </si>
  <si>
    <t>PAA</t>
  </si>
  <si>
    <t>OKS</t>
  </si>
  <si>
    <t>MWE</t>
  </si>
  <si>
    <t>PVR</t>
  </si>
  <si>
    <t>TOO</t>
  </si>
  <si>
    <t>CMLP</t>
  </si>
  <si>
    <t>ETRM</t>
  </si>
  <si>
    <t>SODA</t>
  </si>
  <si>
    <t>Sodastream Leaps Jan 2015 42.5</t>
  </si>
  <si>
    <t>Questcor Pharmaceuticals</t>
  </si>
  <si>
    <t>Plains All American Pipeline</t>
  </si>
  <si>
    <t>OKEOK Partners LP</t>
  </si>
  <si>
    <t>MarkWest Energy</t>
  </si>
  <si>
    <t>PVR Partners LP</t>
  </si>
  <si>
    <t>Teekay Offshore Partners</t>
  </si>
  <si>
    <t>Crestwood Midstream Partners</t>
  </si>
  <si>
    <t>EnteroMedics</t>
  </si>
  <si>
    <t>Sodastream</t>
  </si>
  <si>
    <t>bought by GSK for $14.25/share 8/2/2012</t>
  </si>
  <si>
    <t>sell 3/21/2013</t>
  </si>
  <si>
    <t>sell 12/13/2012</t>
  </si>
  <si>
    <t>won't sell for less than 2.90 7/19/2011; received 1.72 in value in a merger. I assume selling the stock received in merger because guru thought it wasn't exciting</t>
  </si>
  <si>
    <t>sell if it hits 3.00; so far it hasn't</t>
  </si>
  <si>
    <t>http://andrewtobias.com/column/all-in/</t>
  </si>
  <si>
    <t>http://andrewtobias.com/column/can-the-koch-brothers-buy-america/</t>
  </si>
  <si>
    <t>http://andrewtobias.com/column/mitt/</t>
  </si>
  <si>
    <t>http://andrewtobias.com/column/tonights-debate-2/</t>
  </si>
  <si>
    <t>http://andrewtobias.com/column/every-warship-that-is-launched/</t>
  </si>
  <si>
    <t>http://andrewtobias.com/column/happiness/</t>
  </si>
  <si>
    <t>http://andrewtobias.com/column/a-new-speculation/</t>
  </si>
  <si>
    <t>http://andrewtobias.com/column/a-second-joyful-video/</t>
  </si>
  <si>
    <t>http://andrewtobias.com/column/what-if-there-is-no-spending-problem/</t>
  </si>
  <si>
    <t>http://andrewtobias.com/column/fizz-2/</t>
  </si>
  <si>
    <t>sell 3/15/2013</t>
  </si>
  <si>
    <t>assuming conversion of warrants to stock and selling stock</t>
  </si>
  <si>
    <t>Closing Date</t>
  </si>
  <si>
    <t>Initial Investment</t>
  </si>
  <si>
    <t>IRR</t>
  </si>
  <si>
    <t>Dividend per share in this quarter</t>
  </si>
  <si>
    <t>Comparison by buying S&amp;P 500 whenever a recommendation is made</t>
  </si>
  <si>
    <t>KYTH</t>
  </si>
  <si>
    <t>NKTR</t>
  </si>
  <si>
    <t xml:space="preserve">Symbol </t>
  </si>
  <si>
    <t xml:space="preserve">Value ($) </t>
  </si>
  <si>
    <t xml:space="preserve">Morningstar Rating </t>
  </si>
  <si>
    <t xml:space="preserve">Previous Close </t>
  </si>
  <si>
    <t xml:space="preserve">Category </t>
  </si>
  <si>
    <t xml:space="preserve">World Stock </t>
  </si>
  <si>
    <t xml:space="preserve">Net Assets </t>
  </si>
  <si>
    <t xml:space="preserve">Yield </t>
  </si>
  <si>
    <t xml:space="preserve">Morningstar Risk </t>
  </si>
  <si>
    <t xml:space="preserve">High </t>
  </si>
  <si>
    <t xml:space="preserve">Morningstar Return </t>
  </si>
  <si>
    <t xml:space="preserve">Average </t>
  </si>
  <si>
    <t xml:space="preserve">Open </t>
  </si>
  <si>
    <t xml:space="preserve">Day's High </t>
  </si>
  <si>
    <t xml:space="preserve">Day's Low </t>
  </si>
  <si>
    <t xml:space="preserve">Volume </t>
  </si>
  <si>
    <t xml:space="preserve">Avg Daily Vol (13 Wks) </t>
  </si>
  <si>
    <t xml:space="preserve">Bid </t>
  </si>
  <si>
    <t xml:space="preserve">Bid Size </t>
  </si>
  <si>
    <t xml:space="preserve">NA </t>
  </si>
  <si>
    <t xml:space="preserve">Ask </t>
  </si>
  <si>
    <t xml:space="preserve">Ask Size </t>
  </si>
  <si>
    <t xml:space="preserve">52-Wk High </t>
  </si>
  <si>
    <t xml:space="preserve">52-Wk Low </t>
  </si>
  <si>
    <t xml:space="preserve">Dividend Rate </t>
  </si>
  <si>
    <t>NCR</t>
  </si>
  <si>
    <t>have to look up this price manually</t>
  </si>
  <si>
    <t xml:space="preserve">3.95 Mil </t>
  </si>
  <si>
    <t xml:space="preserve">Real Estate </t>
  </si>
  <si>
    <t xml:space="preserve">Above Average </t>
  </si>
  <si>
    <t>bought by KMP for 0.4563 shares of KMP per share of CPNO</t>
  </si>
  <si>
    <t>sell half 8/12/2013</t>
  </si>
  <si>
    <t>sell half 8/9/2010; sell 9/10/2013</t>
  </si>
  <si>
    <t>sell 9/13/2013</t>
  </si>
  <si>
    <t>sell 6/12/2013</t>
  </si>
  <si>
    <t>Methylgene/Mirati</t>
  </si>
  <si>
    <t>MYLGF/MRTX</t>
  </si>
  <si>
    <t>Kythera Biopharmaceuticals</t>
  </si>
  <si>
    <t>Nekthar Pharmaceuticals</t>
  </si>
  <si>
    <t>sell half 5/17/2013</t>
  </si>
  <si>
    <t>http://andrewtobias.com/column/significant-scandal/</t>
  </si>
  <si>
    <t xml:space="preserve">Beta </t>
  </si>
  <si>
    <t xml:space="preserve">YTD NAV Return </t>
  </si>
  <si>
    <t xml:space="preserve">YTD Market Return </t>
  </si>
  <si>
    <t xml:space="preserve">Inception Date </t>
  </si>
  <si>
    <t xml:space="preserve">Shares Outstanding </t>
  </si>
  <si>
    <t>KMP</t>
  </si>
  <si>
    <t>INFU</t>
  </si>
  <si>
    <t>MRTX</t>
  </si>
  <si>
    <t xml:space="preserve">1.21 Mil </t>
  </si>
  <si>
    <t>ROICW</t>
  </si>
  <si>
    <t>SPY</t>
  </si>
  <si>
    <t>Analysis of recommendations by Andrew Tobias</t>
  </si>
  <si>
    <t xml:space="preserve">7.95 Mil </t>
  </si>
  <si>
    <t xml:space="preserve">2.03 Mil </t>
  </si>
  <si>
    <t xml:space="preserve">8.4 Mil </t>
  </si>
  <si>
    <t xml:space="preserve">1.12 Mil </t>
  </si>
  <si>
    <t xml:space="preserve">1.41 Mil </t>
  </si>
  <si>
    <t xml:space="preserve">2.26 Mil </t>
  </si>
  <si>
    <t>Summary</t>
  </si>
  <si>
    <t>invested results in:</t>
  </si>
  <si>
    <t>Internal rate of return =</t>
  </si>
  <si>
    <t>Average holding period =</t>
  </si>
  <si>
    <t>years</t>
  </si>
  <si>
    <t>Average gain =</t>
  </si>
  <si>
    <t>recommendations assuming $1,000 each:</t>
  </si>
  <si>
    <t>If you had invested in S&amp;P 500 each time instead:</t>
  </si>
  <si>
    <t>Press Ctrl+Alt+F5 to refresh data</t>
  </si>
  <si>
    <t>Price on date of sale or as of last update</t>
  </si>
  <si>
    <t>Cumulative Cash Invested</t>
  </si>
  <si>
    <t>CISG</t>
  </si>
  <si>
    <t>Cn Insure</t>
  </si>
  <si>
    <t xml:space="preserve">1.07 Mil </t>
  </si>
  <si>
    <t xml:space="preserve">7.69 Mil </t>
  </si>
  <si>
    <t xml:space="preserve">72.29 Mil </t>
  </si>
  <si>
    <t xml:space="preserve">936.53 Mil </t>
  </si>
  <si>
    <t xml:space="preserve">263.20 Mil </t>
  </si>
  <si>
    <t xml:space="preserve">13.1 Mil </t>
  </si>
  <si>
    <t xml:space="preserve">15.74 Mil </t>
  </si>
  <si>
    <t xml:space="preserve">7.05 Mil </t>
  </si>
  <si>
    <t xml:space="preserve">1.46 Mil </t>
  </si>
  <si>
    <t xml:space="preserve">1.02 Mil </t>
  </si>
  <si>
    <t xml:space="preserve">1.39 Mil </t>
  </si>
  <si>
    <t xml:space="preserve">1.87 Mil </t>
  </si>
  <si>
    <t xml:space="preserve">3.8 Mil </t>
  </si>
  <si>
    <t xml:space="preserve">8.72 Mil </t>
  </si>
  <si>
    <t xml:space="preserve">2.40 Mil </t>
  </si>
  <si>
    <t xml:space="preserve">2.30 Mil </t>
  </si>
  <si>
    <t xml:space="preserve">1.42 Mil </t>
  </si>
  <si>
    <t xml:space="preserve">12.89 Mil </t>
  </si>
  <si>
    <t xml:space="preserve">16.27 Mil </t>
  </si>
  <si>
    <t xml:space="preserve">1.93 Mil </t>
  </si>
  <si>
    <t xml:space="preserve">1.2 Mil </t>
  </si>
  <si>
    <t xml:space="preserve">1.54 Mil </t>
  </si>
  <si>
    <t xml:space="preserve">7.77 Mil </t>
  </si>
  <si>
    <t xml:space="preserve">12.32 Mil </t>
  </si>
  <si>
    <t xml:space="preserve">2.34 Mil </t>
  </si>
  <si>
    <t xml:space="preserve">2.72 Mil </t>
  </si>
  <si>
    <t xml:space="preserve">3.34 Mil </t>
  </si>
  <si>
    <t xml:space="preserve">3.47 Mil </t>
  </si>
  <si>
    <t xml:space="preserve">2.85 Mil </t>
  </si>
  <si>
    <t xml:space="preserve">4.03 Mil </t>
  </si>
  <si>
    <t xml:space="preserve">6.86 Mil </t>
  </si>
  <si>
    <t xml:space="preserve">4.49 Mil </t>
  </si>
  <si>
    <t xml:space="preserve">511.61 Mil </t>
  </si>
  <si>
    <t xml:space="preserve">1.14 Mil </t>
  </si>
  <si>
    <t xml:space="preserve">1.59 Mil </t>
  </si>
  <si>
    <t xml:space="preserve">2.45 Mil </t>
  </si>
  <si>
    <t xml:space="preserve">27.84 Mil </t>
  </si>
  <si>
    <t xml:space="preserve">3.26 Mil </t>
  </si>
  <si>
    <t xml:space="preserve">2.05 Mil </t>
  </si>
  <si>
    <t xml:space="preserve">4.21 Mil </t>
  </si>
  <si>
    <t xml:space="preserve">1.61 Mil </t>
  </si>
  <si>
    <t xml:space="preserve">6.13 Mil </t>
  </si>
  <si>
    <t xml:space="preserve">2.40 Bil </t>
  </si>
  <si>
    <t xml:space="preserve">5.19 Mil </t>
  </si>
  <si>
    <t xml:space="preserve">5.10 Mil </t>
  </si>
  <si>
    <t xml:space="preserve">1.49 Mil </t>
  </si>
  <si>
    <t xml:space="preserve">3.20 Mil </t>
  </si>
  <si>
    <t xml:space="preserve">1.60 Mil </t>
  </si>
  <si>
    <t xml:space="preserve">32.69 Mil </t>
  </si>
  <si>
    <t xml:space="preserve">35.41 Mil </t>
  </si>
  <si>
    <t xml:space="preserve">7.21 Mil </t>
  </si>
  <si>
    <t xml:space="preserve">5.72 Mil </t>
  </si>
  <si>
    <t xml:space="preserve">14.19 Mil </t>
  </si>
  <si>
    <t xml:space="preserve">11.46 Mil </t>
  </si>
  <si>
    <t xml:space="preserve">38.04 Mil </t>
  </si>
  <si>
    <t xml:space="preserve">41.28 Mil </t>
  </si>
  <si>
    <t xml:space="preserve">3.85 Mil </t>
  </si>
  <si>
    <t xml:space="preserve">2.95 Mil </t>
  </si>
  <si>
    <t xml:space="preserve">62.98 Mil </t>
  </si>
  <si>
    <t xml:space="preserve">21.62 Mil </t>
  </si>
  <si>
    <t>http://andrewtobias.com/column/scorecard-cumulative-cash-invested/</t>
  </si>
  <si>
    <t>http://andrewtobias.com/column/p-as-in-pneumonia/</t>
  </si>
  <si>
    <t>sold 12/20/2013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</si>
</sst>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\ ?/8"/>
    <numFmt numFmtId="165" formatCode="m/d/yy;@"/>
    <numFmt numFmtId="166" formatCode="0.0%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/>
    </xf>
    <xf numFmtId="44" fontId="1" fillId="0" borderId="0" xfId="1" applyFont="1"/>
    <xf numFmtId="164" fontId="0" fillId="0" borderId="0" xfId="0" applyNumberFormat="1"/>
    <xf numFmtId="0" fontId="3" fillId="0" borderId="0" xfId="0" applyFont="1"/>
    <xf numFmtId="0" fontId="2" fillId="0" borderId="0" xfId="2" applyAlignment="1" applyProtection="1"/>
    <xf numFmtId="44" fontId="1" fillId="0" borderId="0" xfId="1" applyFont="1" applyAlignment="1"/>
    <xf numFmtId="14" fontId="3" fillId="0" borderId="0" xfId="0" applyNumberFormat="1" applyFont="1" applyAlignment="1">
      <alignment horizontal="center" textRotation="90" wrapText="1"/>
    </xf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center" textRotation="90" wrapText="1"/>
    </xf>
    <xf numFmtId="39" fontId="0" fillId="0" borderId="0" xfId="0" applyNumberFormat="1"/>
    <xf numFmtId="39" fontId="3" fillId="0" borderId="0" xfId="0" applyNumberFormat="1" applyFont="1" applyAlignment="1">
      <alignment horizontal="center" textRotation="90" wrapText="1"/>
    </xf>
    <xf numFmtId="44" fontId="0" fillId="0" borderId="0" xfId="1" applyFont="1" applyAlignment="1"/>
    <xf numFmtId="44" fontId="0" fillId="0" borderId="0" xfId="1" applyFont="1" applyAlignment="1">
      <alignment horizontal="right"/>
    </xf>
    <xf numFmtId="166" fontId="0" fillId="0" borderId="0" xfId="3" applyNumberFormat="1" applyFont="1"/>
    <xf numFmtId="17" fontId="0" fillId="0" borderId="0" xfId="0" applyNumberFormat="1"/>
    <xf numFmtId="3" fontId="0" fillId="0" borderId="0" xfId="0" applyNumberFormat="1"/>
    <xf numFmtId="4" fontId="0" fillId="0" borderId="0" xfId="0" applyNumberFormat="1"/>
    <xf numFmtId="167" fontId="0" fillId="0" borderId="0" xfId="0" applyNumberFormat="1"/>
    <xf numFmtId="166" fontId="3" fillId="0" borderId="0" xfId="0" applyNumberFormat="1" applyFont="1"/>
    <xf numFmtId="42" fontId="8" fillId="0" borderId="0" xfId="0" applyNumberFormat="1" applyFont="1"/>
    <xf numFmtId="42" fontId="1" fillId="0" borderId="0" xfId="1" applyNumberFormat="1" applyFont="1" applyAlignment="1"/>
    <xf numFmtId="0" fontId="9" fillId="0" borderId="0" xfId="0" applyFont="1" applyAlignment="1"/>
    <xf numFmtId="14" fontId="9" fillId="0" borderId="0" xfId="0" applyNumberFormat="1" applyFont="1" applyAlignment="1"/>
    <xf numFmtId="0" fontId="9" fillId="0" borderId="0" xfId="0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Scorecard!$A$16</c:f>
              <c:strCache>
                <c:ptCount val="1"/>
                <c:pt idx="0">
                  <c:v>Cumulative Cash Invested</c:v>
                </c:pt>
              </c:strCache>
            </c:strRef>
          </c:tx>
          <c:marker>
            <c:symbol val="none"/>
          </c:marker>
          <c:cat>
            <c:numRef>
              <c:f>Scorecard!$E$17:$E$214</c:f>
              <c:numCache>
                <c:formatCode>m/d/yyyy</c:formatCode>
                <c:ptCount val="198"/>
                <c:pt idx="0">
                  <c:v>35425</c:v>
                </c:pt>
                <c:pt idx="1">
                  <c:v>35439</c:v>
                </c:pt>
                <c:pt idx="2">
                  <c:v>35528</c:v>
                </c:pt>
                <c:pt idx="3">
                  <c:v>35541</c:v>
                </c:pt>
                <c:pt idx="4">
                  <c:v>35710</c:v>
                </c:pt>
                <c:pt idx="5">
                  <c:v>35902</c:v>
                </c:pt>
                <c:pt idx="6">
                  <c:v>36020</c:v>
                </c:pt>
                <c:pt idx="7">
                  <c:v>36115</c:v>
                </c:pt>
                <c:pt idx="8">
                  <c:v>36480</c:v>
                </c:pt>
                <c:pt idx="9">
                  <c:v>36599</c:v>
                </c:pt>
                <c:pt idx="10">
                  <c:v>36599</c:v>
                </c:pt>
                <c:pt idx="11">
                  <c:v>36599</c:v>
                </c:pt>
                <c:pt idx="12">
                  <c:v>36599</c:v>
                </c:pt>
                <c:pt idx="13">
                  <c:v>36599</c:v>
                </c:pt>
                <c:pt idx="14">
                  <c:v>36649</c:v>
                </c:pt>
                <c:pt idx="15">
                  <c:v>36649</c:v>
                </c:pt>
                <c:pt idx="16">
                  <c:v>36649</c:v>
                </c:pt>
                <c:pt idx="17">
                  <c:v>36731</c:v>
                </c:pt>
                <c:pt idx="18">
                  <c:v>36760</c:v>
                </c:pt>
                <c:pt idx="19">
                  <c:v>36760</c:v>
                </c:pt>
                <c:pt idx="20">
                  <c:v>36760</c:v>
                </c:pt>
                <c:pt idx="21">
                  <c:v>36760</c:v>
                </c:pt>
                <c:pt idx="22">
                  <c:v>36760</c:v>
                </c:pt>
                <c:pt idx="23">
                  <c:v>36760</c:v>
                </c:pt>
                <c:pt idx="24">
                  <c:v>36798</c:v>
                </c:pt>
                <c:pt idx="25">
                  <c:v>36811</c:v>
                </c:pt>
                <c:pt idx="26">
                  <c:v>36868</c:v>
                </c:pt>
                <c:pt idx="27">
                  <c:v>36894</c:v>
                </c:pt>
                <c:pt idx="28">
                  <c:v>37046</c:v>
                </c:pt>
                <c:pt idx="29">
                  <c:v>37152</c:v>
                </c:pt>
                <c:pt idx="30">
                  <c:v>37152</c:v>
                </c:pt>
                <c:pt idx="31">
                  <c:v>37152</c:v>
                </c:pt>
                <c:pt idx="32">
                  <c:v>37152</c:v>
                </c:pt>
                <c:pt idx="33">
                  <c:v>37152</c:v>
                </c:pt>
                <c:pt idx="34">
                  <c:v>37154</c:v>
                </c:pt>
                <c:pt idx="35">
                  <c:v>37166</c:v>
                </c:pt>
                <c:pt idx="36">
                  <c:v>37368</c:v>
                </c:pt>
                <c:pt idx="37">
                  <c:v>37433</c:v>
                </c:pt>
                <c:pt idx="38">
                  <c:v>37461</c:v>
                </c:pt>
                <c:pt idx="39">
                  <c:v>37461</c:v>
                </c:pt>
                <c:pt idx="40">
                  <c:v>37461</c:v>
                </c:pt>
                <c:pt idx="41">
                  <c:v>37461</c:v>
                </c:pt>
                <c:pt idx="42">
                  <c:v>37461</c:v>
                </c:pt>
                <c:pt idx="43">
                  <c:v>37461</c:v>
                </c:pt>
                <c:pt idx="44">
                  <c:v>37525</c:v>
                </c:pt>
                <c:pt idx="45">
                  <c:v>37525</c:v>
                </c:pt>
                <c:pt idx="46">
                  <c:v>37525</c:v>
                </c:pt>
                <c:pt idx="47">
                  <c:v>37585</c:v>
                </c:pt>
                <c:pt idx="48">
                  <c:v>37585</c:v>
                </c:pt>
                <c:pt idx="49">
                  <c:v>37592</c:v>
                </c:pt>
                <c:pt idx="50">
                  <c:v>37655</c:v>
                </c:pt>
                <c:pt idx="51">
                  <c:v>37742</c:v>
                </c:pt>
                <c:pt idx="52">
                  <c:v>37847</c:v>
                </c:pt>
                <c:pt idx="53">
                  <c:v>37950</c:v>
                </c:pt>
                <c:pt idx="54">
                  <c:v>37978</c:v>
                </c:pt>
                <c:pt idx="55">
                  <c:v>37978</c:v>
                </c:pt>
                <c:pt idx="56">
                  <c:v>37978</c:v>
                </c:pt>
                <c:pt idx="57">
                  <c:v>38033</c:v>
                </c:pt>
                <c:pt idx="58">
                  <c:v>38033</c:v>
                </c:pt>
                <c:pt idx="59">
                  <c:v>38152</c:v>
                </c:pt>
                <c:pt idx="60">
                  <c:v>38215</c:v>
                </c:pt>
                <c:pt idx="61">
                  <c:v>38222</c:v>
                </c:pt>
                <c:pt idx="62">
                  <c:v>38267</c:v>
                </c:pt>
                <c:pt idx="63">
                  <c:v>38278</c:v>
                </c:pt>
                <c:pt idx="64">
                  <c:v>38334</c:v>
                </c:pt>
                <c:pt idx="65">
                  <c:v>38400</c:v>
                </c:pt>
                <c:pt idx="66">
                  <c:v>38429</c:v>
                </c:pt>
                <c:pt idx="67">
                  <c:v>38429</c:v>
                </c:pt>
                <c:pt idx="68">
                  <c:v>38539</c:v>
                </c:pt>
                <c:pt idx="69">
                  <c:v>38539</c:v>
                </c:pt>
                <c:pt idx="70">
                  <c:v>38625</c:v>
                </c:pt>
                <c:pt idx="71">
                  <c:v>38625</c:v>
                </c:pt>
                <c:pt idx="72">
                  <c:v>38625</c:v>
                </c:pt>
                <c:pt idx="73">
                  <c:v>38685</c:v>
                </c:pt>
                <c:pt idx="74">
                  <c:v>38719</c:v>
                </c:pt>
                <c:pt idx="75">
                  <c:v>38723</c:v>
                </c:pt>
                <c:pt idx="76">
                  <c:v>38779</c:v>
                </c:pt>
                <c:pt idx="77">
                  <c:v>38833</c:v>
                </c:pt>
                <c:pt idx="78">
                  <c:v>38888</c:v>
                </c:pt>
                <c:pt idx="79">
                  <c:v>38933</c:v>
                </c:pt>
                <c:pt idx="80">
                  <c:v>38957</c:v>
                </c:pt>
                <c:pt idx="81">
                  <c:v>39156</c:v>
                </c:pt>
                <c:pt idx="82">
                  <c:v>39248</c:v>
                </c:pt>
                <c:pt idx="83">
                  <c:v>39288</c:v>
                </c:pt>
                <c:pt idx="84">
                  <c:v>39367</c:v>
                </c:pt>
                <c:pt idx="85">
                  <c:v>39374</c:v>
                </c:pt>
                <c:pt idx="86">
                  <c:v>39394</c:v>
                </c:pt>
                <c:pt idx="87">
                  <c:v>39409</c:v>
                </c:pt>
                <c:pt idx="88">
                  <c:v>39412</c:v>
                </c:pt>
                <c:pt idx="89">
                  <c:v>39489</c:v>
                </c:pt>
                <c:pt idx="90">
                  <c:v>39554</c:v>
                </c:pt>
                <c:pt idx="91">
                  <c:v>39568</c:v>
                </c:pt>
                <c:pt idx="92">
                  <c:v>39575</c:v>
                </c:pt>
                <c:pt idx="93">
                  <c:v>39645</c:v>
                </c:pt>
                <c:pt idx="94">
                  <c:v>39645</c:v>
                </c:pt>
                <c:pt idx="95">
                  <c:v>39645</c:v>
                </c:pt>
                <c:pt idx="96">
                  <c:v>39645</c:v>
                </c:pt>
                <c:pt idx="97">
                  <c:v>39645</c:v>
                </c:pt>
                <c:pt idx="98">
                  <c:v>39672</c:v>
                </c:pt>
                <c:pt idx="99">
                  <c:v>39744</c:v>
                </c:pt>
                <c:pt idx="100">
                  <c:v>39744</c:v>
                </c:pt>
                <c:pt idx="101">
                  <c:v>39792</c:v>
                </c:pt>
                <c:pt idx="102">
                  <c:v>39800</c:v>
                </c:pt>
                <c:pt idx="103">
                  <c:v>39800</c:v>
                </c:pt>
                <c:pt idx="104">
                  <c:v>39812</c:v>
                </c:pt>
                <c:pt idx="105">
                  <c:v>39855</c:v>
                </c:pt>
                <c:pt idx="106">
                  <c:v>39855</c:v>
                </c:pt>
                <c:pt idx="107">
                  <c:v>39874</c:v>
                </c:pt>
                <c:pt idx="108">
                  <c:v>39884</c:v>
                </c:pt>
                <c:pt idx="109">
                  <c:v>39884</c:v>
                </c:pt>
                <c:pt idx="110">
                  <c:v>39911</c:v>
                </c:pt>
                <c:pt idx="111">
                  <c:v>39923</c:v>
                </c:pt>
                <c:pt idx="112">
                  <c:v>39975</c:v>
                </c:pt>
                <c:pt idx="113">
                  <c:v>40014</c:v>
                </c:pt>
                <c:pt idx="114">
                  <c:v>40016</c:v>
                </c:pt>
                <c:pt idx="115">
                  <c:v>40030</c:v>
                </c:pt>
                <c:pt idx="116">
                  <c:v>40030</c:v>
                </c:pt>
                <c:pt idx="117">
                  <c:v>40087</c:v>
                </c:pt>
                <c:pt idx="118">
                  <c:v>40099</c:v>
                </c:pt>
                <c:pt idx="119">
                  <c:v>40105</c:v>
                </c:pt>
                <c:pt idx="120">
                  <c:v>40115</c:v>
                </c:pt>
                <c:pt idx="121">
                  <c:v>40115</c:v>
                </c:pt>
                <c:pt idx="122">
                  <c:v>40115</c:v>
                </c:pt>
                <c:pt idx="123">
                  <c:v>40116</c:v>
                </c:pt>
                <c:pt idx="124">
                  <c:v>40119</c:v>
                </c:pt>
                <c:pt idx="125">
                  <c:v>40137</c:v>
                </c:pt>
                <c:pt idx="126">
                  <c:v>40150</c:v>
                </c:pt>
                <c:pt idx="127">
                  <c:v>40199</c:v>
                </c:pt>
                <c:pt idx="128">
                  <c:v>40231</c:v>
                </c:pt>
                <c:pt idx="129">
                  <c:v>40233</c:v>
                </c:pt>
                <c:pt idx="130">
                  <c:v>40235</c:v>
                </c:pt>
                <c:pt idx="131">
                  <c:v>40247</c:v>
                </c:pt>
                <c:pt idx="132">
                  <c:v>40324</c:v>
                </c:pt>
                <c:pt idx="133">
                  <c:v>40339</c:v>
                </c:pt>
                <c:pt idx="134">
                  <c:v>40401</c:v>
                </c:pt>
                <c:pt idx="135">
                  <c:v>40430</c:v>
                </c:pt>
                <c:pt idx="136">
                  <c:v>40431</c:v>
                </c:pt>
                <c:pt idx="137">
                  <c:v>40431</c:v>
                </c:pt>
                <c:pt idx="138">
                  <c:v>40434</c:v>
                </c:pt>
                <c:pt idx="139">
                  <c:v>40485</c:v>
                </c:pt>
                <c:pt idx="140">
                  <c:v>40485</c:v>
                </c:pt>
                <c:pt idx="141">
                  <c:v>40485</c:v>
                </c:pt>
                <c:pt idx="142">
                  <c:v>40485</c:v>
                </c:pt>
                <c:pt idx="143">
                  <c:v>40485</c:v>
                </c:pt>
                <c:pt idx="144">
                  <c:v>40485</c:v>
                </c:pt>
                <c:pt idx="145">
                  <c:v>40485</c:v>
                </c:pt>
                <c:pt idx="146">
                  <c:v>40492</c:v>
                </c:pt>
                <c:pt idx="147">
                  <c:v>40527</c:v>
                </c:pt>
                <c:pt idx="148">
                  <c:v>40556</c:v>
                </c:pt>
                <c:pt idx="149">
                  <c:v>40556</c:v>
                </c:pt>
                <c:pt idx="150">
                  <c:v>40556</c:v>
                </c:pt>
                <c:pt idx="151">
                  <c:v>40556</c:v>
                </c:pt>
                <c:pt idx="152">
                  <c:v>40585</c:v>
                </c:pt>
                <c:pt idx="153">
                  <c:v>40592</c:v>
                </c:pt>
                <c:pt idx="154">
                  <c:v>40626</c:v>
                </c:pt>
                <c:pt idx="155">
                  <c:v>40644</c:v>
                </c:pt>
                <c:pt idx="156">
                  <c:v>40658</c:v>
                </c:pt>
                <c:pt idx="157">
                  <c:v>40680</c:v>
                </c:pt>
                <c:pt idx="158">
                  <c:v>40689</c:v>
                </c:pt>
                <c:pt idx="159">
                  <c:v>40702</c:v>
                </c:pt>
                <c:pt idx="160">
                  <c:v>40722</c:v>
                </c:pt>
                <c:pt idx="161">
                  <c:v>40729</c:v>
                </c:pt>
                <c:pt idx="162">
                  <c:v>40729</c:v>
                </c:pt>
                <c:pt idx="163">
                  <c:v>40745</c:v>
                </c:pt>
                <c:pt idx="164">
                  <c:v>40759</c:v>
                </c:pt>
                <c:pt idx="165">
                  <c:v>40764</c:v>
                </c:pt>
                <c:pt idx="166">
                  <c:v>40764</c:v>
                </c:pt>
                <c:pt idx="167">
                  <c:v>40764</c:v>
                </c:pt>
                <c:pt idx="168">
                  <c:v>40767</c:v>
                </c:pt>
                <c:pt idx="169">
                  <c:v>40799</c:v>
                </c:pt>
                <c:pt idx="170">
                  <c:v>40809</c:v>
                </c:pt>
                <c:pt idx="171">
                  <c:v>40821</c:v>
                </c:pt>
                <c:pt idx="172">
                  <c:v>40848</c:v>
                </c:pt>
                <c:pt idx="173">
                  <c:v>40876</c:v>
                </c:pt>
                <c:pt idx="174">
                  <c:v>40954</c:v>
                </c:pt>
                <c:pt idx="175">
                  <c:v>40976</c:v>
                </c:pt>
                <c:pt idx="176">
                  <c:v>40989</c:v>
                </c:pt>
                <c:pt idx="177">
                  <c:v>41003</c:v>
                </c:pt>
                <c:pt idx="178">
                  <c:v>41043</c:v>
                </c:pt>
                <c:pt idx="179">
                  <c:v>41060</c:v>
                </c:pt>
                <c:pt idx="180">
                  <c:v>41106</c:v>
                </c:pt>
                <c:pt idx="181">
                  <c:v>41198</c:v>
                </c:pt>
                <c:pt idx="182">
                  <c:v>41283</c:v>
                </c:pt>
                <c:pt idx="183">
                  <c:v>41283</c:v>
                </c:pt>
                <c:pt idx="184">
                  <c:v>41283</c:v>
                </c:pt>
                <c:pt idx="185">
                  <c:v>41283</c:v>
                </c:pt>
                <c:pt idx="186">
                  <c:v>41283</c:v>
                </c:pt>
                <c:pt idx="187">
                  <c:v>41283</c:v>
                </c:pt>
                <c:pt idx="188">
                  <c:v>41312</c:v>
                </c:pt>
                <c:pt idx="189">
                  <c:v>41330</c:v>
                </c:pt>
                <c:pt idx="190">
                  <c:v>41347</c:v>
                </c:pt>
                <c:pt idx="191">
                  <c:v>41347</c:v>
                </c:pt>
                <c:pt idx="192">
                  <c:v>41348</c:v>
                </c:pt>
                <c:pt idx="193">
                  <c:v>41372</c:v>
                </c:pt>
                <c:pt idx="194">
                  <c:v>41401</c:v>
                </c:pt>
                <c:pt idx="195">
                  <c:v>41401</c:v>
                </c:pt>
                <c:pt idx="196">
                  <c:v>41628</c:v>
                </c:pt>
                <c:pt idx="197">
                  <c:v>41638</c:v>
                </c:pt>
              </c:numCache>
            </c:numRef>
          </c:cat>
          <c:val>
            <c:numRef>
              <c:f>Scorecard!$A$17:$A$214</c:f>
              <c:numCache>
                <c:formatCode>"$"#,##0</c:formatCode>
                <c:ptCount val="19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11509</c:v>
                </c:pt>
                <c:pt idx="6">
                  <c:v>12509</c:v>
                </c:pt>
                <c:pt idx="7">
                  <c:v>13509</c:v>
                </c:pt>
                <c:pt idx="8">
                  <c:v>14100</c:v>
                </c:pt>
                <c:pt idx="9">
                  <c:v>9684</c:v>
                </c:pt>
                <c:pt idx="10">
                  <c:v>10684</c:v>
                </c:pt>
                <c:pt idx="11">
                  <c:v>11684</c:v>
                </c:pt>
                <c:pt idx="12">
                  <c:v>12684</c:v>
                </c:pt>
                <c:pt idx="13">
                  <c:v>13684</c:v>
                </c:pt>
                <c:pt idx="14">
                  <c:v>11684</c:v>
                </c:pt>
                <c:pt idx="15">
                  <c:v>12684</c:v>
                </c:pt>
                <c:pt idx="16">
                  <c:v>13684</c:v>
                </c:pt>
                <c:pt idx="17">
                  <c:v>14684</c:v>
                </c:pt>
                <c:pt idx="18">
                  <c:v>15684</c:v>
                </c:pt>
                <c:pt idx="19">
                  <c:v>16684</c:v>
                </c:pt>
                <c:pt idx="20">
                  <c:v>17684</c:v>
                </c:pt>
                <c:pt idx="21">
                  <c:v>18684</c:v>
                </c:pt>
                <c:pt idx="22">
                  <c:v>19684</c:v>
                </c:pt>
                <c:pt idx="23">
                  <c:v>20684</c:v>
                </c:pt>
                <c:pt idx="24">
                  <c:v>21684</c:v>
                </c:pt>
                <c:pt idx="25">
                  <c:v>22684</c:v>
                </c:pt>
                <c:pt idx="26">
                  <c:v>23684</c:v>
                </c:pt>
                <c:pt idx="27">
                  <c:v>24684</c:v>
                </c:pt>
                <c:pt idx="28">
                  <c:v>25684</c:v>
                </c:pt>
                <c:pt idx="29">
                  <c:v>25508</c:v>
                </c:pt>
                <c:pt idx="30">
                  <c:v>26508</c:v>
                </c:pt>
                <c:pt idx="31">
                  <c:v>27508</c:v>
                </c:pt>
                <c:pt idx="32">
                  <c:v>28508</c:v>
                </c:pt>
                <c:pt idx="33">
                  <c:v>29508</c:v>
                </c:pt>
                <c:pt idx="34">
                  <c:v>30508</c:v>
                </c:pt>
                <c:pt idx="35">
                  <c:v>31508</c:v>
                </c:pt>
                <c:pt idx="36">
                  <c:v>28384</c:v>
                </c:pt>
                <c:pt idx="37">
                  <c:v>29384</c:v>
                </c:pt>
                <c:pt idx="38">
                  <c:v>30384</c:v>
                </c:pt>
                <c:pt idx="39">
                  <c:v>31384</c:v>
                </c:pt>
                <c:pt idx="40">
                  <c:v>32384</c:v>
                </c:pt>
                <c:pt idx="41">
                  <c:v>33384</c:v>
                </c:pt>
                <c:pt idx="42">
                  <c:v>34384</c:v>
                </c:pt>
                <c:pt idx="43">
                  <c:v>35384</c:v>
                </c:pt>
                <c:pt idx="44">
                  <c:v>36384</c:v>
                </c:pt>
                <c:pt idx="45">
                  <c:v>37384</c:v>
                </c:pt>
                <c:pt idx="46">
                  <c:v>38384</c:v>
                </c:pt>
                <c:pt idx="47">
                  <c:v>37811</c:v>
                </c:pt>
                <c:pt idx="48">
                  <c:v>38811</c:v>
                </c:pt>
                <c:pt idx="49">
                  <c:v>39811</c:v>
                </c:pt>
                <c:pt idx="50">
                  <c:v>40811</c:v>
                </c:pt>
                <c:pt idx="51">
                  <c:v>39858</c:v>
                </c:pt>
                <c:pt idx="52">
                  <c:v>40858</c:v>
                </c:pt>
                <c:pt idx="53">
                  <c:v>41858</c:v>
                </c:pt>
                <c:pt idx="54">
                  <c:v>42858</c:v>
                </c:pt>
                <c:pt idx="55">
                  <c:v>43858</c:v>
                </c:pt>
                <c:pt idx="56">
                  <c:v>44858</c:v>
                </c:pt>
                <c:pt idx="57">
                  <c:v>43022</c:v>
                </c:pt>
                <c:pt idx="58">
                  <c:v>44022</c:v>
                </c:pt>
                <c:pt idx="59">
                  <c:v>45022</c:v>
                </c:pt>
                <c:pt idx="60">
                  <c:v>46022</c:v>
                </c:pt>
                <c:pt idx="61">
                  <c:v>47022</c:v>
                </c:pt>
                <c:pt idx="62">
                  <c:v>48022</c:v>
                </c:pt>
                <c:pt idx="63">
                  <c:v>48007</c:v>
                </c:pt>
                <c:pt idx="64">
                  <c:v>49007</c:v>
                </c:pt>
                <c:pt idx="65">
                  <c:v>50007</c:v>
                </c:pt>
                <c:pt idx="66">
                  <c:v>51007</c:v>
                </c:pt>
                <c:pt idx="67">
                  <c:v>52007</c:v>
                </c:pt>
                <c:pt idx="68">
                  <c:v>52125</c:v>
                </c:pt>
                <c:pt idx="69">
                  <c:v>53125</c:v>
                </c:pt>
                <c:pt idx="70">
                  <c:v>51837</c:v>
                </c:pt>
                <c:pt idx="71">
                  <c:v>52837</c:v>
                </c:pt>
                <c:pt idx="72">
                  <c:v>53837</c:v>
                </c:pt>
                <c:pt idx="73">
                  <c:v>46322</c:v>
                </c:pt>
                <c:pt idx="74">
                  <c:v>45447</c:v>
                </c:pt>
                <c:pt idx="75">
                  <c:v>45747</c:v>
                </c:pt>
                <c:pt idx="76">
                  <c:v>44895</c:v>
                </c:pt>
                <c:pt idx="77">
                  <c:v>45895</c:v>
                </c:pt>
                <c:pt idx="78">
                  <c:v>46895</c:v>
                </c:pt>
                <c:pt idx="79">
                  <c:v>47895</c:v>
                </c:pt>
                <c:pt idx="80">
                  <c:v>47902</c:v>
                </c:pt>
                <c:pt idx="81">
                  <c:v>36099</c:v>
                </c:pt>
                <c:pt idx="82">
                  <c:v>15008</c:v>
                </c:pt>
                <c:pt idx="83">
                  <c:v>16008</c:v>
                </c:pt>
                <c:pt idx="84">
                  <c:v>15563</c:v>
                </c:pt>
                <c:pt idx="85">
                  <c:v>16563</c:v>
                </c:pt>
                <c:pt idx="86">
                  <c:v>17563</c:v>
                </c:pt>
                <c:pt idx="87">
                  <c:v>18563</c:v>
                </c:pt>
                <c:pt idx="88">
                  <c:v>16563</c:v>
                </c:pt>
                <c:pt idx="89">
                  <c:v>17653</c:v>
                </c:pt>
                <c:pt idx="90">
                  <c:v>17027</c:v>
                </c:pt>
                <c:pt idx="91">
                  <c:v>18027</c:v>
                </c:pt>
                <c:pt idx="92">
                  <c:v>19027</c:v>
                </c:pt>
                <c:pt idx="93">
                  <c:v>20027</c:v>
                </c:pt>
                <c:pt idx="94">
                  <c:v>21027</c:v>
                </c:pt>
                <c:pt idx="95">
                  <c:v>22027</c:v>
                </c:pt>
                <c:pt idx="96">
                  <c:v>23027</c:v>
                </c:pt>
                <c:pt idx="97">
                  <c:v>24027</c:v>
                </c:pt>
                <c:pt idx="98">
                  <c:v>25027</c:v>
                </c:pt>
                <c:pt idx="99">
                  <c:v>26027</c:v>
                </c:pt>
                <c:pt idx="100">
                  <c:v>27027</c:v>
                </c:pt>
                <c:pt idx="101">
                  <c:v>28027</c:v>
                </c:pt>
                <c:pt idx="102">
                  <c:v>29027</c:v>
                </c:pt>
                <c:pt idx="103">
                  <c:v>30027</c:v>
                </c:pt>
                <c:pt idx="104">
                  <c:v>31027</c:v>
                </c:pt>
                <c:pt idx="105">
                  <c:v>28134</c:v>
                </c:pt>
                <c:pt idx="106">
                  <c:v>29134</c:v>
                </c:pt>
                <c:pt idx="107">
                  <c:v>30134</c:v>
                </c:pt>
                <c:pt idx="108">
                  <c:v>31134</c:v>
                </c:pt>
                <c:pt idx="109">
                  <c:v>32134</c:v>
                </c:pt>
                <c:pt idx="110">
                  <c:v>33143</c:v>
                </c:pt>
                <c:pt idx="111">
                  <c:v>32065</c:v>
                </c:pt>
                <c:pt idx="112">
                  <c:v>33065</c:v>
                </c:pt>
                <c:pt idx="113">
                  <c:v>30437</c:v>
                </c:pt>
                <c:pt idx="114">
                  <c:v>31437</c:v>
                </c:pt>
                <c:pt idx="115">
                  <c:v>28628</c:v>
                </c:pt>
                <c:pt idx="116">
                  <c:v>29628</c:v>
                </c:pt>
                <c:pt idx="117">
                  <c:v>29432</c:v>
                </c:pt>
                <c:pt idx="118">
                  <c:v>29829</c:v>
                </c:pt>
                <c:pt idx="119">
                  <c:v>29860</c:v>
                </c:pt>
                <c:pt idx="120">
                  <c:v>30860</c:v>
                </c:pt>
                <c:pt idx="121">
                  <c:v>31860</c:v>
                </c:pt>
                <c:pt idx="122">
                  <c:v>32860</c:v>
                </c:pt>
                <c:pt idx="123">
                  <c:v>33860</c:v>
                </c:pt>
                <c:pt idx="124">
                  <c:v>34860</c:v>
                </c:pt>
                <c:pt idx="125">
                  <c:v>35860</c:v>
                </c:pt>
                <c:pt idx="126">
                  <c:v>36860</c:v>
                </c:pt>
                <c:pt idx="127">
                  <c:v>36034</c:v>
                </c:pt>
                <c:pt idx="128">
                  <c:v>36784</c:v>
                </c:pt>
                <c:pt idx="129">
                  <c:v>37784</c:v>
                </c:pt>
                <c:pt idx="130">
                  <c:v>38784</c:v>
                </c:pt>
                <c:pt idx="131">
                  <c:v>39784</c:v>
                </c:pt>
                <c:pt idx="132">
                  <c:v>40784</c:v>
                </c:pt>
                <c:pt idx="133">
                  <c:v>41784</c:v>
                </c:pt>
                <c:pt idx="134">
                  <c:v>39238</c:v>
                </c:pt>
                <c:pt idx="135">
                  <c:v>40238</c:v>
                </c:pt>
                <c:pt idx="136">
                  <c:v>41238</c:v>
                </c:pt>
                <c:pt idx="137">
                  <c:v>42238</c:v>
                </c:pt>
                <c:pt idx="138">
                  <c:v>43238</c:v>
                </c:pt>
                <c:pt idx="139">
                  <c:v>42986</c:v>
                </c:pt>
                <c:pt idx="140">
                  <c:v>43986</c:v>
                </c:pt>
                <c:pt idx="141">
                  <c:v>44986</c:v>
                </c:pt>
                <c:pt idx="142">
                  <c:v>45986</c:v>
                </c:pt>
                <c:pt idx="143">
                  <c:v>46986</c:v>
                </c:pt>
                <c:pt idx="144">
                  <c:v>47986</c:v>
                </c:pt>
                <c:pt idx="145">
                  <c:v>48986</c:v>
                </c:pt>
                <c:pt idx="146">
                  <c:v>49986</c:v>
                </c:pt>
                <c:pt idx="147">
                  <c:v>48912</c:v>
                </c:pt>
                <c:pt idx="148">
                  <c:v>48493</c:v>
                </c:pt>
                <c:pt idx="149">
                  <c:v>49493</c:v>
                </c:pt>
                <c:pt idx="150">
                  <c:v>50493</c:v>
                </c:pt>
                <c:pt idx="151">
                  <c:v>51493</c:v>
                </c:pt>
                <c:pt idx="152">
                  <c:v>13202</c:v>
                </c:pt>
                <c:pt idx="153">
                  <c:v>14202</c:v>
                </c:pt>
                <c:pt idx="154">
                  <c:v>15202</c:v>
                </c:pt>
                <c:pt idx="155">
                  <c:v>16202</c:v>
                </c:pt>
                <c:pt idx="156">
                  <c:v>15652</c:v>
                </c:pt>
                <c:pt idx="157">
                  <c:v>16652</c:v>
                </c:pt>
                <c:pt idx="158">
                  <c:v>17652</c:v>
                </c:pt>
                <c:pt idx="159">
                  <c:v>17411</c:v>
                </c:pt>
                <c:pt idx="160">
                  <c:v>15197</c:v>
                </c:pt>
                <c:pt idx="161">
                  <c:v>16197</c:v>
                </c:pt>
                <c:pt idx="162">
                  <c:v>17197</c:v>
                </c:pt>
                <c:pt idx="163">
                  <c:v>18197</c:v>
                </c:pt>
                <c:pt idx="164">
                  <c:v>19197</c:v>
                </c:pt>
                <c:pt idx="165">
                  <c:v>20197</c:v>
                </c:pt>
                <c:pt idx="166">
                  <c:v>21197</c:v>
                </c:pt>
                <c:pt idx="167">
                  <c:v>22197</c:v>
                </c:pt>
                <c:pt idx="168">
                  <c:v>23197</c:v>
                </c:pt>
                <c:pt idx="169">
                  <c:v>24197</c:v>
                </c:pt>
                <c:pt idx="170">
                  <c:v>24291</c:v>
                </c:pt>
                <c:pt idx="171">
                  <c:v>25291</c:v>
                </c:pt>
                <c:pt idx="172">
                  <c:v>26291</c:v>
                </c:pt>
                <c:pt idx="173">
                  <c:v>27183</c:v>
                </c:pt>
                <c:pt idx="174">
                  <c:v>27403</c:v>
                </c:pt>
                <c:pt idx="175">
                  <c:v>26179</c:v>
                </c:pt>
                <c:pt idx="176">
                  <c:v>27179</c:v>
                </c:pt>
                <c:pt idx="177">
                  <c:v>28005</c:v>
                </c:pt>
                <c:pt idx="178">
                  <c:v>28692</c:v>
                </c:pt>
                <c:pt idx="179">
                  <c:v>29692</c:v>
                </c:pt>
                <c:pt idx="180">
                  <c:v>30692</c:v>
                </c:pt>
                <c:pt idx="181">
                  <c:v>30505</c:v>
                </c:pt>
                <c:pt idx="182">
                  <c:v>26354</c:v>
                </c:pt>
                <c:pt idx="183">
                  <c:v>27354</c:v>
                </c:pt>
                <c:pt idx="184">
                  <c:v>28354</c:v>
                </c:pt>
                <c:pt idx="185">
                  <c:v>29354</c:v>
                </c:pt>
                <c:pt idx="186">
                  <c:v>30354</c:v>
                </c:pt>
                <c:pt idx="187">
                  <c:v>31354</c:v>
                </c:pt>
                <c:pt idx="188">
                  <c:v>32354</c:v>
                </c:pt>
                <c:pt idx="189">
                  <c:v>33354</c:v>
                </c:pt>
                <c:pt idx="190">
                  <c:v>34354</c:v>
                </c:pt>
                <c:pt idx="191">
                  <c:v>35354</c:v>
                </c:pt>
                <c:pt idx="192">
                  <c:v>35651</c:v>
                </c:pt>
                <c:pt idx="193">
                  <c:v>35158</c:v>
                </c:pt>
                <c:pt idx="194">
                  <c:v>36158</c:v>
                </c:pt>
                <c:pt idx="195">
                  <c:v>37158</c:v>
                </c:pt>
                <c:pt idx="196">
                  <c:v>35099</c:v>
                </c:pt>
                <c:pt idx="197">
                  <c:v>28618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3152"/>
        <c:axId val="73234688"/>
      </c:lineChart>
      <c:dateAx>
        <c:axId val="73233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3234688"/>
        <c:crosses val="autoZero"/>
        <c:auto val="1"/>
        <c:lblOffset val="100"/>
        <c:baseTimeUnit val="days"/>
      </c:dateAx>
      <c:valAx>
        <c:axId val="7323468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7323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7</xdr:col>
      <xdr:colOff>390525</xdr:colOff>
      <xdr:row>14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ock-price?Symbol=bx&amp;ocid=qbeb" connectionId="2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tock-price?Symbol=vno&amp;ocid=qbeb" connectionId="6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tock-price?Symbol=apc&amp;ocid=qbeb" connectionId="2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tock-price?Symbol=usb&amp;ocid=qbeb" connectionId="5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tock-price?Symbol=roic&amp;ocid=qbeb" connectionId="3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tock-price?symbol=cmlp&amp;ocid=qbeb" connectionId="6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tock-price?Symbol=pcg&amp;ocid=qbeb" connectionId="1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tock-price?Symbol=sne&amp;ocid=qbeb" connectionId="1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tock-price?Symbol=etrm&amp;ocid=qbeb" connectionId="6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?symbol=fxc&amp;ocid=qbeb" connectionId="3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tock-price?Symbol=jnpr&amp;ocid=qbeb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ock-price?Symbol=bfs&amp;ocid=qbeb" connectionId="7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tock-price?Symbol=siga&amp;ocid=qbeb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tock-price?Symbol=infu&amp;ocid=qbeb" connectionId="4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tock-price?Symbol=pars&amp;ocid=qbeb" connectionId="4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tock-price?Symbol=fmd&amp;ocid=qbeb" connectionId="2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tock-price?Symbol=jnj&amp;ocid=qbeb" connectionId="1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tock-price?Symbol=ttnp&amp;ocid=qbeb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tock-price?Symbol=an&amp;ocid=qbeb" connectionId="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tock-price?Symbol=fgp&amp;ocid=qbeb" connectionId="1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tock-price?Symbol=mrk&amp;ocid=qbeb" connectionId="1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tock-price?Symbol=epd&amp;ocid=qbeb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ock-price?Symbol=cvv&amp;ocid=qbeb" connectionId="52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tock-price?Symbol=wfc&amp;ocid=qbeb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?symbol=fxe&amp;ocid=qbeb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tock-price?Symbol=wmt&amp;ocid=qbeb" connectionId="2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?symbol=fxf&amp;ocid=qbeb" connectionId="3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tock-price?Symbol=kyth&amp;ocid=qbeb" connectionId="7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tock-price?Symbol=jny&amp;ocid=qbeb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tock-price?Symbol=emis&amp;ocid=qbeb_1" connectionId="4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tock-price?Symbol=oks&amp;ocid=qbeb" connectionId="6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tock-price?Symbol=alu&amp;ocid=qbeb" connectionId="5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tock-price?Symbol=paa&amp;ocid=qbeb" connectionId="6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tock-price?Symbol=kf&amp;ocid=qbeb" connectionId="22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tock-price?Symbol=bth&amp;ocid=qbeb" connectionId="2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tock-price?Symbol=kmp&amp;ocid=qbeb" connectionId="3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tock-price?Symbol=depo&amp;ocid=qbeb" connectionId="4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tock-price?Symbol=cisg&amp;ocid=qbeb" connectionId="7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?symbol=slv&amp;ocid=qbeb" connectionId="3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tock-price?Symbol=too&amp;ocid=qbeb" connectionId="6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tock-price?Symbol=dvax&amp;ocid=qbeb" connectionId="5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tock-price?Symbol=emis&amp;ocid=qbeb" connectionId="1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tock-price?Symbol=gldd&amp;ocid=qbeb" connectionId="4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tock-price?Symbol=axp&amp;ocid=qbeb" connectionId="4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?symbol=prgsx&amp;ocid=qbeb" connectionId="2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tock-price?Symbol=ge&amp;ocid=qbeb" connectionId="25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tock-price?Symbol=pcl&amp;ocid=qbeb" connectionId="2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tock-price?Symbol=dcth&amp;ocid=qbeb" connectionId="4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tock-price?Symbol=smbc&amp;ocid=qbeb" connectionId="59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tock-price?Symbol=mck&amp;ocid=qbeb" connectionId="4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tock-price?Symbol=ncr&amp;ocid=qbeb" connectionId="1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?symbol=spy&amp;ocid=qbeb" connectionId="74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tock-price?Symbol=npsp&amp;ocid=qbeb" connectionId="50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tock-price?Symbol=pvr&amp;ocid=qbeb" connectionId="64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tock-price?Symbol=cbrx&amp;ocid=qbeb_1" connectionId="5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?symbol=gld&amp;ocid=qbeb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tock-price?Symbol=hmc&amp;ocid=qbeb" connectionId="7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tock-price?Symbol=ntii&amp;ocid=qbeb" connectionId="1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tock-price?Symbol=roicw&amp;ocid=qbeb" connectionId="7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tock-price?Symbol=gd&amp;ocid=qbeb" connectionId="3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tock-price?Symbol=boref&amp;ocid=qbeb" connectionId="72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tock-price?Symbol=mrtx&amp;ocid=qbeb" connectionId="5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tock-price?Symbol=npk&amp;ocid=qbeb" connectionId="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tock-price?Symbol=dd&amp;ocid=qbeb" connectionId="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?symbol=fxa&amp;ocid=qbeb" connectionId="31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?symbol=fxy&amp;ocid=qbeb" connectionId="3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tock-price?Symbol=mvc&amp;ocid=qbeb" connectionId="6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tock-price?Symbol=nktr&amp;ocid=qbeb" connectionId="71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tock-price?Symbol=msft&amp;ocid=qbeb" connectionId="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tock-price?Symbol=c&amp;ocid=qbeb" connectionId="1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tock-price?Symbol=soda&amp;ocid=qbeb" connectionId="69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tock-price?Symbol=aln&amp;ocid=qbeb" connectionId="47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tock-price?Symbol=vz&amp;ocid=qbeb" connectionId="28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tock-price?Symbol=bkutk&amp;ocid=qbeb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?symbol=vgsix&amp;ocid=qbeb" connectionId="7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tock-price?Symbol=mwe&amp;ocid=qbeb" connectionId="6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drewtobias.com/column/worried-but-enjoying-it/" TargetMode="External"/><Relationship Id="rId21" Type="http://schemas.openxmlformats.org/officeDocument/2006/relationships/hyperlink" Target="http://andrewtobias.com/column/who-wants-to-be-a-millionaire/" TargetMode="External"/><Relationship Id="rId42" Type="http://schemas.openxmlformats.org/officeDocument/2006/relationships/hyperlink" Target="http://andrewtobias.com/column/time-to-nibble-i-bought-stocks-today/" TargetMode="External"/><Relationship Id="rId63" Type="http://schemas.openxmlformats.org/officeDocument/2006/relationships/hyperlink" Target="http://andrewtobias.com/column/dont-mess-with-texas-really/" TargetMode="External"/><Relationship Id="rId84" Type="http://schemas.openxmlformats.org/officeDocument/2006/relationships/hyperlink" Target="http://www.andrewtobias.com/newcolumns/070615.html" TargetMode="External"/><Relationship Id="rId138" Type="http://schemas.openxmlformats.org/officeDocument/2006/relationships/hyperlink" Target="http://andrewtobias.com/column/confidence-and-taxes/" TargetMode="External"/><Relationship Id="rId159" Type="http://schemas.openxmlformats.org/officeDocument/2006/relationships/hyperlink" Target="http://www.andrewtobias.com/bkoldcolumns/110526.html" TargetMode="External"/><Relationship Id="rId170" Type="http://schemas.openxmlformats.org/officeDocument/2006/relationships/hyperlink" Target="http://andrewtobias.com/column/pep/" TargetMode="External"/><Relationship Id="rId191" Type="http://schemas.openxmlformats.org/officeDocument/2006/relationships/hyperlink" Target="http://andrewtobias.com/column/a-second-joyful-video/" TargetMode="External"/><Relationship Id="rId196" Type="http://schemas.openxmlformats.org/officeDocument/2006/relationships/hyperlink" Target="http://andrewtobias.com/column/significant-scandal/" TargetMode="External"/><Relationship Id="rId16" Type="http://schemas.openxmlformats.org/officeDocument/2006/relationships/hyperlink" Target="http://andrewtobias.com/column/real-estate-investment-trusts/" TargetMode="External"/><Relationship Id="rId107" Type="http://schemas.openxmlformats.org/officeDocument/2006/relationships/hyperlink" Target="http://andrewtobias.com/column/jitterbug/" TargetMode="External"/><Relationship Id="rId11" Type="http://schemas.openxmlformats.org/officeDocument/2006/relationships/hyperlink" Target="http://andrewtobias.com/column/five-stocks-you-should-consider/" TargetMode="External"/><Relationship Id="rId32" Type="http://schemas.openxmlformats.org/officeDocument/2006/relationships/hyperlink" Target="http://andrewtobias.com/column/letter-from-an-afghan/" TargetMode="External"/><Relationship Id="rId37" Type="http://schemas.openxmlformats.org/officeDocument/2006/relationships/hyperlink" Target="http://andrewtobias.com/column/blowback-and-the-jerusalem-post/" TargetMode="External"/><Relationship Id="rId53" Type="http://schemas.openxmlformats.org/officeDocument/2006/relationships/hyperlink" Target="http://andrewtobias.com/column/and-now-a-word-or-two-about-money/" TargetMode="External"/><Relationship Id="rId58" Type="http://schemas.openxmlformats.org/officeDocument/2006/relationships/hyperlink" Target="http://andrewtobias.com/column/year-end-tax-selling-and-buying/" TargetMode="External"/><Relationship Id="rId74" Type="http://schemas.openxmlformats.org/officeDocument/2006/relationships/hyperlink" Target="http://andrewtobias.com/column/boring-money-stuff/" TargetMode="External"/><Relationship Id="rId79" Type="http://schemas.openxmlformats.org/officeDocument/2006/relationships/hyperlink" Target="http://andrewtobias.com/bkoldcolumns/060426.html" TargetMode="External"/><Relationship Id="rId102" Type="http://schemas.openxmlformats.org/officeDocument/2006/relationships/hyperlink" Target="http://andrewtobias.com/column/yesterday-3/" TargetMode="External"/><Relationship Id="rId123" Type="http://schemas.openxmlformats.org/officeDocument/2006/relationships/hyperlink" Target="http://andrewtobias.com/column/a-more-perfect-union-a-basket-of-speculations/" TargetMode="External"/><Relationship Id="rId128" Type="http://schemas.openxmlformats.org/officeDocument/2006/relationships/hyperlink" Target="http://andrewtobias.com/column/tall-politicians/" TargetMode="External"/><Relationship Id="rId144" Type="http://schemas.openxmlformats.org/officeDocument/2006/relationships/hyperlink" Target="http://andrewtobias.com/column/all-17-newspaper-editorial-boards/" TargetMode="External"/><Relationship Id="rId149" Type="http://schemas.openxmlformats.org/officeDocument/2006/relationships/hyperlink" Target="http://andrewtobias.com/column/four-mutual-funds/" TargetMode="External"/><Relationship Id="rId5" Type="http://schemas.openxmlformats.org/officeDocument/2006/relationships/hyperlink" Target="http://andrewtobias.com/column/an-idti-bit-of-hindsight/" TargetMode="External"/><Relationship Id="rId90" Type="http://schemas.openxmlformats.org/officeDocument/2006/relationships/hyperlink" Target="http://andrewtobias.com/column/if-the-bank-fails-we-could-always-open-a-restaurant/" TargetMode="External"/><Relationship Id="rId95" Type="http://schemas.openxmlformats.org/officeDocument/2006/relationships/hyperlink" Target="http://andrewtobias.com/column/phoning-for-2-cents-a-minute-instead-of-349/" TargetMode="External"/><Relationship Id="rId160" Type="http://schemas.openxmlformats.org/officeDocument/2006/relationships/hyperlink" Target="http://andrewtobias.com/column/saving-lives-in-new-york/" TargetMode="External"/><Relationship Id="rId165" Type="http://schemas.openxmlformats.org/officeDocument/2006/relationships/hyperlink" Target="http://andrewtobias.com/column/so-help/" TargetMode="External"/><Relationship Id="rId181" Type="http://schemas.openxmlformats.org/officeDocument/2006/relationships/hyperlink" Target="http://andrewtobias.com/column/mitt/" TargetMode="External"/><Relationship Id="rId186" Type="http://schemas.openxmlformats.org/officeDocument/2006/relationships/hyperlink" Target="http://andrewtobias.com/column/every-warship-that-is-launched/" TargetMode="External"/><Relationship Id="rId22" Type="http://schemas.openxmlformats.org/officeDocument/2006/relationships/hyperlink" Target="http://andrewtobias.com/column/who-wants-to-be-a-millionaire/" TargetMode="External"/><Relationship Id="rId27" Type="http://schemas.openxmlformats.org/officeDocument/2006/relationships/hyperlink" Target="http://andrewtobias.com/column/the-market-collapse/" TargetMode="External"/><Relationship Id="rId43" Type="http://schemas.openxmlformats.org/officeDocument/2006/relationships/hyperlink" Target="http://andrewtobias.com/column/time-to-nibble-i-bought-stocks-today/" TargetMode="External"/><Relationship Id="rId48" Type="http://schemas.openxmlformats.org/officeDocument/2006/relationships/hyperlink" Target="http://andrewtobias.com/column/caesar-tivo-seasons-picks-aol/" TargetMode="External"/><Relationship Id="rId64" Type="http://schemas.openxmlformats.org/officeDocument/2006/relationships/hyperlink" Target="http://andrewtobias.com/column/bombs-breasts-and-an-88-yield/" TargetMode="External"/><Relationship Id="rId69" Type="http://schemas.openxmlformats.org/officeDocument/2006/relationships/hyperlink" Target="http://andrewtobias.com/column/visit-the-monkeysphere/" TargetMode="External"/><Relationship Id="rId113" Type="http://schemas.openxmlformats.org/officeDocument/2006/relationships/hyperlink" Target="http://andrewtobias.com/column/money-thoughts/" TargetMode="External"/><Relationship Id="rId118" Type="http://schemas.openxmlformats.org/officeDocument/2006/relationships/hyperlink" Target="http://andrewtobias.com/column/worried-but-enjoying-it/" TargetMode="External"/><Relationship Id="rId134" Type="http://schemas.openxmlformats.org/officeDocument/2006/relationships/hyperlink" Target="http://andrewtobias.com/column/liberals-for-deregulation/" TargetMode="External"/><Relationship Id="rId139" Type="http://schemas.openxmlformats.org/officeDocument/2006/relationships/hyperlink" Target="http://andrewtobias.com/column/organizing-for-your-iphone/" TargetMode="External"/><Relationship Id="rId80" Type="http://schemas.openxmlformats.org/officeDocument/2006/relationships/hyperlink" Target="http://andrewtobias.com/column/create-your-own/" TargetMode="External"/><Relationship Id="rId85" Type="http://schemas.openxmlformats.org/officeDocument/2006/relationships/hyperlink" Target="http://andrewtobias.com/column/airplane-2/" TargetMode="External"/><Relationship Id="rId150" Type="http://schemas.openxmlformats.org/officeDocument/2006/relationships/hyperlink" Target="http://andrewtobias.com/column/four-mutual-funds/" TargetMode="External"/><Relationship Id="rId155" Type="http://schemas.openxmlformats.org/officeDocument/2006/relationships/hyperlink" Target="http://andrewtobias.com/column/give-em-hell-frances/" TargetMode="External"/><Relationship Id="rId171" Type="http://schemas.openxmlformats.org/officeDocument/2006/relationships/hyperlink" Target="http://andrewtobias.com/column/just-do-it-2/" TargetMode="External"/><Relationship Id="rId176" Type="http://schemas.openxmlformats.org/officeDocument/2006/relationships/hyperlink" Target="http://andrewtobias.com/column/borealis-and-buttkick/" TargetMode="External"/><Relationship Id="rId192" Type="http://schemas.openxmlformats.org/officeDocument/2006/relationships/hyperlink" Target="http://andrewtobias.com/column/a-second-joyful-video/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andrewtobias.com/column/five-stocks-you-should-consider/" TargetMode="External"/><Relationship Id="rId17" Type="http://schemas.openxmlformats.org/officeDocument/2006/relationships/hyperlink" Target="http://andrewtobias.com/column/real-estate-investment-trusts/" TargetMode="External"/><Relationship Id="rId33" Type="http://schemas.openxmlformats.org/officeDocument/2006/relationships/hyperlink" Target="http://andrewtobias.com/column/letter-from-an-afghan/" TargetMode="External"/><Relationship Id="rId38" Type="http://schemas.openxmlformats.org/officeDocument/2006/relationships/hyperlink" Target="http://andrewtobias.com/column/an-stock-to-consider/" TargetMode="External"/><Relationship Id="rId59" Type="http://schemas.openxmlformats.org/officeDocument/2006/relationships/hyperlink" Target="http://andrewtobias.com/column/buy-sell-marry/" TargetMode="External"/><Relationship Id="rId103" Type="http://schemas.openxmlformats.org/officeDocument/2006/relationships/hyperlink" Target="http://andrewtobias.com/column/can-the-market-go-to-zero/" TargetMode="External"/><Relationship Id="rId108" Type="http://schemas.openxmlformats.org/officeDocument/2006/relationships/hyperlink" Target="http://andrewtobias.com/column/jitterbug/" TargetMode="External"/><Relationship Id="rId124" Type="http://schemas.openxmlformats.org/officeDocument/2006/relationships/hyperlink" Target="http://andrewtobias.com/column/a-more-perfect-union-a-basket-of-speculations/" TargetMode="External"/><Relationship Id="rId129" Type="http://schemas.openxmlformats.org/officeDocument/2006/relationships/hyperlink" Target="http://andrewtobias.com/column/huge-good-news/" TargetMode="External"/><Relationship Id="rId54" Type="http://schemas.openxmlformats.org/officeDocument/2006/relationships/hyperlink" Target="http://andrewtobias.com/column/wood/" TargetMode="External"/><Relationship Id="rId70" Type="http://schemas.openxmlformats.org/officeDocument/2006/relationships/hyperlink" Target="http://www.andrewtobias.com/newcolumns/050706.html" TargetMode="External"/><Relationship Id="rId75" Type="http://schemas.openxmlformats.org/officeDocument/2006/relationships/hyperlink" Target="http://andrewtobias.com/column/good-deals-and-turkey-drippings/" TargetMode="External"/><Relationship Id="rId91" Type="http://schemas.openxmlformats.org/officeDocument/2006/relationships/hyperlink" Target="http://andrewtobias.com/column/if-the-world-is-ending-why-not-visit-paradise/" TargetMode="External"/><Relationship Id="rId96" Type="http://schemas.openxmlformats.org/officeDocument/2006/relationships/hyperlink" Target="http://andrewtobias.com/column/phoning-for-2-cents-a-minute-instead-of-349/" TargetMode="External"/><Relationship Id="rId140" Type="http://schemas.openxmlformats.org/officeDocument/2006/relationships/hyperlink" Target="http://andrewtobias.com/column/all-17-newspaper-editorial-boards/" TargetMode="External"/><Relationship Id="rId145" Type="http://schemas.openxmlformats.org/officeDocument/2006/relationships/hyperlink" Target="http://andrewtobias.com/column/all-17-newspaper-editorial-boards/" TargetMode="External"/><Relationship Id="rId161" Type="http://schemas.openxmlformats.org/officeDocument/2006/relationships/hyperlink" Target="http://andrewtobias.com/column/keep-the-faith/" TargetMode="External"/><Relationship Id="rId166" Type="http://schemas.openxmlformats.org/officeDocument/2006/relationships/hyperlink" Target="http://andrewtobias.com/column/sign-the-petition-let-fred-debate/" TargetMode="External"/><Relationship Id="rId182" Type="http://schemas.openxmlformats.org/officeDocument/2006/relationships/hyperlink" Target="http://andrewtobias.com/column/tonights-debate-2/" TargetMode="External"/><Relationship Id="rId187" Type="http://schemas.openxmlformats.org/officeDocument/2006/relationships/hyperlink" Target="http://andrewtobias.com/column/every-warship-that-is-launched/" TargetMode="External"/><Relationship Id="rId1" Type="http://schemas.openxmlformats.org/officeDocument/2006/relationships/hyperlink" Target="http://www.andrewtobias.com/bkoldcolumns/961226.html" TargetMode="External"/><Relationship Id="rId6" Type="http://schemas.openxmlformats.org/officeDocument/2006/relationships/hyperlink" Target="http://andrewtobias.com/column/gm-card-lunacy/" TargetMode="External"/><Relationship Id="rId23" Type="http://schemas.openxmlformats.org/officeDocument/2006/relationships/hyperlink" Target="http://andrewtobias.com/column/who-wants-to-be-a-millionaire/" TargetMode="External"/><Relationship Id="rId28" Type="http://schemas.openxmlformats.org/officeDocument/2006/relationships/hyperlink" Target="http://andrewtobias.com/column/closed-end-funds-iii/" TargetMode="External"/><Relationship Id="rId49" Type="http://schemas.openxmlformats.org/officeDocument/2006/relationships/hyperlink" Target="http://andrewtobias.com/column/time-to-rebalance/" TargetMode="External"/><Relationship Id="rId114" Type="http://schemas.openxmlformats.org/officeDocument/2006/relationships/hyperlink" Target="http://andrewtobias.com/column/this-bus-is-getting-crowded/" TargetMode="External"/><Relationship Id="rId119" Type="http://schemas.openxmlformats.org/officeDocument/2006/relationships/hyperlink" Target="http://andrewtobias.com/column/back-to-the-tea-party/" TargetMode="External"/><Relationship Id="rId44" Type="http://schemas.openxmlformats.org/officeDocument/2006/relationships/hyperlink" Target="http://andrewtobias.com/column/time-to-nibble-i-bought-stocks-today/" TargetMode="External"/><Relationship Id="rId60" Type="http://schemas.openxmlformats.org/officeDocument/2006/relationships/hyperlink" Target="http://andrewtobias.com/column/buy-sell-marry/" TargetMode="External"/><Relationship Id="rId65" Type="http://schemas.openxmlformats.org/officeDocument/2006/relationships/hyperlink" Target="http://www.andrewtobias.com/bkoldcolumns/041018.html" TargetMode="External"/><Relationship Id="rId81" Type="http://schemas.openxmlformats.org/officeDocument/2006/relationships/hyperlink" Target="http://andrewtobias.com/column/mr-sabatins-dunums/" TargetMode="External"/><Relationship Id="rId86" Type="http://schemas.openxmlformats.org/officeDocument/2006/relationships/hyperlink" Target="http://andrewtobias.com/column/what-have-we-done/" TargetMode="External"/><Relationship Id="rId130" Type="http://schemas.openxmlformats.org/officeDocument/2006/relationships/hyperlink" Target="http://andrewtobias.com/column/vancouver-v-virginia/" TargetMode="External"/><Relationship Id="rId135" Type="http://schemas.openxmlformats.org/officeDocument/2006/relationships/hyperlink" Target="http://andrewtobias.com/column/must-see-pavement-tv/" TargetMode="External"/><Relationship Id="rId151" Type="http://schemas.openxmlformats.org/officeDocument/2006/relationships/hyperlink" Target="http://andrewtobias.com/column/four-mutual-funds/" TargetMode="External"/><Relationship Id="rId156" Type="http://schemas.openxmlformats.org/officeDocument/2006/relationships/hyperlink" Target="http://andrewtobias.com/column/the-republican-and-the-penny-stock/" TargetMode="External"/><Relationship Id="rId177" Type="http://schemas.openxmlformats.org/officeDocument/2006/relationships/hyperlink" Target="http://andrewtobias.com/column/monet-manet-money-and-more/" TargetMode="External"/><Relationship Id="rId198" Type="http://schemas.openxmlformats.org/officeDocument/2006/relationships/vmlDrawing" Target="../drawings/vmlDrawing1.vml"/><Relationship Id="rId172" Type="http://schemas.openxmlformats.org/officeDocument/2006/relationships/hyperlink" Target="http://andrewtobias.com/column/gross-and-buffett/" TargetMode="External"/><Relationship Id="rId193" Type="http://schemas.openxmlformats.org/officeDocument/2006/relationships/hyperlink" Target="http://andrewtobias.com/column/what-if-there-is-no-spending-problem/" TargetMode="External"/><Relationship Id="rId13" Type="http://schemas.openxmlformats.org/officeDocument/2006/relationships/hyperlink" Target="http://andrewtobias.com/column/five-stocks-you-should-consider/" TargetMode="External"/><Relationship Id="rId18" Type="http://schemas.openxmlformats.org/officeDocument/2006/relationships/hyperlink" Target="http://andrewtobias.com/column/real-estate-investment-trusts/" TargetMode="External"/><Relationship Id="rId39" Type="http://schemas.openxmlformats.org/officeDocument/2006/relationships/hyperlink" Target="http://andrewtobias.com/column/three-little-speculations/" TargetMode="External"/><Relationship Id="rId109" Type="http://schemas.openxmlformats.org/officeDocument/2006/relationships/hyperlink" Target="http://andrewtobias.com/column/simply-put/" TargetMode="External"/><Relationship Id="rId34" Type="http://schemas.openxmlformats.org/officeDocument/2006/relationships/hyperlink" Target="http://andrewtobias.com/column/letter-from-an-afghan/" TargetMode="External"/><Relationship Id="rId50" Type="http://schemas.openxmlformats.org/officeDocument/2006/relationships/hyperlink" Target="http://andrewtobias.com/column/time-to-rebalance/" TargetMode="External"/><Relationship Id="rId55" Type="http://schemas.openxmlformats.org/officeDocument/2006/relationships/hyperlink" Target="http://www.andrewtobias.com/bkoldcolumns/031125.html" TargetMode="External"/><Relationship Id="rId76" Type="http://schemas.openxmlformats.org/officeDocument/2006/relationships/hyperlink" Target="http://andrewtobias.com/column/how-do-the-locusts-know/" TargetMode="External"/><Relationship Id="rId97" Type="http://schemas.openxmlformats.org/officeDocument/2006/relationships/hyperlink" Target="http://andrewtobias.com/column/phoning-for-2-cents-a-minute-instead-of-349/" TargetMode="External"/><Relationship Id="rId104" Type="http://schemas.openxmlformats.org/officeDocument/2006/relationships/hyperlink" Target="http://andrewtobias.com/column/well-you-asked/" TargetMode="External"/><Relationship Id="rId120" Type="http://schemas.openxmlformats.org/officeDocument/2006/relationships/hyperlink" Target="http://andrewtobias.com/column/marching-in-dc-vibrating-in-alabama/" TargetMode="External"/><Relationship Id="rId125" Type="http://schemas.openxmlformats.org/officeDocument/2006/relationships/hyperlink" Target="http://andrewtobias.com/column/sober-stuff/" TargetMode="External"/><Relationship Id="rId141" Type="http://schemas.openxmlformats.org/officeDocument/2006/relationships/hyperlink" Target="http://andrewtobias.com/column/all-17-newspaper-editorial-boards/" TargetMode="External"/><Relationship Id="rId146" Type="http://schemas.openxmlformats.org/officeDocument/2006/relationships/hyperlink" Target="http://andrewtobias.com/column/all-17-newspaper-editorial-boards/" TargetMode="External"/><Relationship Id="rId167" Type="http://schemas.openxmlformats.org/officeDocument/2006/relationships/hyperlink" Target="http://andrewtobias.com/column/sign-the-petition-let-fred-debate/" TargetMode="External"/><Relationship Id="rId188" Type="http://schemas.openxmlformats.org/officeDocument/2006/relationships/hyperlink" Target="http://andrewtobias.com/column/every-warship-that-is-launched/" TargetMode="External"/><Relationship Id="rId7" Type="http://schemas.openxmlformats.org/officeDocument/2006/relationships/hyperlink" Target="http://andrewtobias.com/column/amazonstratosphere/" TargetMode="External"/><Relationship Id="rId71" Type="http://schemas.openxmlformats.org/officeDocument/2006/relationships/hyperlink" Target="http://www.andrewtobias.com/newcolumns/050706.html" TargetMode="External"/><Relationship Id="rId92" Type="http://schemas.openxmlformats.org/officeDocument/2006/relationships/hyperlink" Target="http://andrewtobias.com/column/equality/" TargetMode="External"/><Relationship Id="rId162" Type="http://schemas.openxmlformats.org/officeDocument/2006/relationships/hyperlink" Target="http://andrewtobias.com/column/listen/" TargetMode="External"/><Relationship Id="rId183" Type="http://schemas.openxmlformats.org/officeDocument/2006/relationships/hyperlink" Target="http://andrewtobias.com/column/every-warship-that-is-launched/" TargetMode="External"/><Relationship Id="rId2" Type="http://schemas.openxmlformats.org/officeDocument/2006/relationships/hyperlink" Target="http://www.andrewtobias.com/bkoldcolumns/970109.html" TargetMode="External"/><Relationship Id="rId29" Type="http://schemas.openxmlformats.org/officeDocument/2006/relationships/hyperlink" Target="http://andrewtobias.com/column/kids-and-money/" TargetMode="External"/><Relationship Id="rId24" Type="http://schemas.openxmlformats.org/officeDocument/2006/relationships/hyperlink" Target="http://andrewtobias.com/column/who-wants-to-be-a-millionaire/" TargetMode="External"/><Relationship Id="rId40" Type="http://schemas.openxmlformats.org/officeDocument/2006/relationships/hyperlink" Target="http://andrewtobias.com/column/time-to-nibble-i-bought-stocks-today/" TargetMode="External"/><Relationship Id="rId45" Type="http://schemas.openxmlformats.org/officeDocument/2006/relationships/hyperlink" Target="http://andrewtobias.com/column/time-to-nibble-i-bought-stocks-today/" TargetMode="External"/><Relationship Id="rId66" Type="http://schemas.openxmlformats.org/officeDocument/2006/relationships/hyperlink" Target="http://andrewtobias.com/column/russia-china-chile-chad-this-diamond-fake-is-really-rad/" TargetMode="External"/><Relationship Id="rId87" Type="http://schemas.openxmlformats.org/officeDocument/2006/relationships/hyperlink" Target="http://andrewtobias.com/column/mud-paper-not-dollars-and-ambulatory-infusion-pumps/" TargetMode="External"/><Relationship Id="rId110" Type="http://schemas.openxmlformats.org/officeDocument/2006/relationships/hyperlink" Target="http://andrewtobias.com/column/the-world-may-not-end/" TargetMode="External"/><Relationship Id="rId115" Type="http://schemas.openxmlformats.org/officeDocument/2006/relationships/hyperlink" Target="http://andrewtobias.com/column/six-months/" TargetMode="External"/><Relationship Id="rId131" Type="http://schemas.openxmlformats.org/officeDocument/2006/relationships/hyperlink" Target="http://andrewtobias.com/column/a-little-light-music/" TargetMode="External"/><Relationship Id="rId136" Type="http://schemas.openxmlformats.org/officeDocument/2006/relationships/hyperlink" Target="http://andrewtobias.com/column/plouffe-lays-it-out/" TargetMode="External"/><Relationship Id="rId157" Type="http://schemas.openxmlformats.org/officeDocument/2006/relationships/hyperlink" Target="http://andrewtobias.com/column/would-warren-buffett-use-delta-bonus-miles-to-buy-fcsc/" TargetMode="External"/><Relationship Id="rId178" Type="http://schemas.openxmlformats.org/officeDocument/2006/relationships/hyperlink" Target="http://andrewtobias.com/column/a-catholic-reflects/" TargetMode="External"/><Relationship Id="rId61" Type="http://schemas.openxmlformats.org/officeDocument/2006/relationships/hyperlink" Target="http://andrewtobias.com/column/if-you-own-no-oil-stocks/" TargetMode="External"/><Relationship Id="rId82" Type="http://schemas.openxmlformats.org/officeDocument/2006/relationships/hyperlink" Target="http://andrewtobias.com/bkoldcolumns/060828.html" TargetMode="External"/><Relationship Id="rId152" Type="http://schemas.openxmlformats.org/officeDocument/2006/relationships/hyperlink" Target="http://andrewtobias.com/column/four-mutual-funds/" TargetMode="External"/><Relationship Id="rId173" Type="http://schemas.openxmlformats.org/officeDocument/2006/relationships/hyperlink" Target="http://andrewtobias.com/column/a-cuban-immigrant-in-the-top-1/" TargetMode="External"/><Relationship Id="rId194" Type="http://schemas.openxmlformats.org/officeDocument/2006/relationships/hyperlink" Target="http://andrewtobias.com/column/fizz-2/" TargetMode="External"/><Relationship Id="rId199" Type="http://schemas.openxmlformats.org/officeDocument/2006/relationships/comments" Target="../comments1.xml"/><Relationship Id="rId19" Type="http://schemas.openxmlformats.org/officeDocument/2006/relationships/hyperlink" Target="http://andrewtobias.com/column/whats-170-worth/" TargetMode="External"/><Relationship Id="rId14" Type="http://schemas.openxmlformats.org/officeDocument/2006/relationships/hyperlink" Target="http://andrewtobias.com/column/five-stocks-you-should-consider/" TargetMode="External"/><Relationship Id="rId30" Type="http://schemas.openxmlformats.org/officeDocument/2006/relationships/hyperlink" Target="http://andrewtobias.com/bkoldcolumns/010604.html" TargetMode="External"/><Relationship Id="rId35" Type="http://schemas.openxmlformats.org/officeDocument/2006/relationships/hyperlink" Target="http://andrewtobias.com/column/letter-from-an-afghan/" TargetMode="External"/><Relationship Id="rId56" Type="http://schemas.openxmlformats.org/officeDocument/2006/relationships/hyperlink" Target="http://andrewtobias.com/column/year-end-tax-selling-and-buying/" TargetMode="External"/><Relationship Id="rId77" Type="http://schemas.openxmlformats.org/officeDocument/2006/relationships/hyperlink" Target="http://andrewtobias.com/column/old-news-new-observations/" TargetMode="External"/><Relationship Id="rId100" Type="http://schemas.openxmlformats.org/officeDocument/2006/relationships/hyperlink" Target="http://andrewtobias.com/column/fight-fiercely-harvard/" TargetMode="External"/><Relationship Id="rId105" Type="http://schemas.openxmlformats.org/officeDocument/2006/relationships/hyperlink" Target="http://andrewtobias.com/column/well-you-asked/" TargetMode="External"/><Relationship Id="rId126" Type="http://schemas.openxmlformats.org/officeDocument/2006/relationships/hyperlink" Target="http://andrewtobias.com/column/appoplexy-and-infusystems/" TargetMode="External"/><Relationship Id="rId147" Type="http://schemas.openxmlformats.org/officeDocument/2006/relationships/hyperlink" Target="http://www.andrewtobias.com/bkoldcolumns/101110.html" TargetMode="External"/><Relationship Id="rId168" Type="http://schemas.openxmlformats.org/officeDocument/2006/relationships/hyperlink" Target="http://andrewtobias.com/column/sign-the-petition-let-fred-debate/" TargetMode="External"/><Relationship Id="rId8" Type="http://schemas.openxmlformats.org/officeDocument/2006/relationships/hyperlink" Target="http://andrewtobias.com/column/where-do-you-find-a-company-like-dep/" TargetMode="External"/><Relationship Id="rId51" Type="http://schemas.openxmlformats.org/officeDocument/2006/relationships/hyperlink" Target="http://andrewtobias.com/column/a-1485-yield/" TargetMode="External"/><Relationship Id="rId72" Type="http://schemas.openxmlformats.org/officeDocument/2006/relationships/hyperlink" Target="http://andrewtobias.com/column/boring-money-stuff/" TargetMode="External"/><Relationship Id="rId93" Type="http://schemas.openxmlformats.org/officeDocument/2006/relationships/hyperlink" Target="http://andrewtobias.com/column/spacs/" TargetMode="External"/><Relationship Id="rId98" Type="http://schemas.openxmlformats.org/officeDocument/2006/relationships/hyperlink" Target="http://andrewtobias.com/column/phoning-for-2-cents-a-minute-instead-of-349/" TargetMode="External"/><Relationship Id="rId121" Type="http://schemas.openxmlformats.org/officeDocument/2006/relationships/hyperlink" Target="http://andrewtobias.com/column/dead-peasants/" TargetMode="External"/><Relationship Id="rId142" Type="http://schemas.openxmlformats.org/officeDocument/2006/relationships/hyperlink" Target="http://andrewtobias.com/column/all-17-newspaper-editorial-boards/" TargetMode="External"/><Relationship Id="rId163" Type="http://schemas.openxmlformats.org/officeDocument/2006/relationships/hyperlink" Target="http://andrewtobias.com/column/listen/" TargetMode="External"/><Relationship Id="rId184" Type="http://schemas.openxmlformats.org/officeDocument/2006/relationships/hyperlink" Target="http://andrewtobias.com/column/every-warship-that-is-launched/" TargetMode="External"/><Relationship Id="rId189" Type="http://schemas.openxmlformats.org/officeDocument/2006/relationships/hyperlink" Target="http://andrewtobias.com/column/happiness/" TargetMode="External"/><Relationship Id="rId3" Type="http://schemas.openxmlformats.org/officeDocument/2006/relationships/hyperlink" Target="http://andrewtobias.com/column/optimism-2/" TargetMode="External"/><Relationship Id="rId25" Type="http://schemas.openxmlformats.org/officeDocument/2006/relationships/hyperlink" Target="http://andrewtobias.com/column/who-wants-to-be-a-millionaire/" TargetMode="External"/><Relationship Id="rId46" Type="http://schemas.openxmlformats.org/officeDocument/2006/relationships/hyperlink" Target="http://andrewtobias.com/column/caesar-tivo-seasons-picks-aol/" TargetMode="External"/><Relationship Id="rId67" Type="http://schemas.openxmlformats.org/officeDocument/2006/relationships/hyperlink" Target="http://andrewtobias.com/column/finally-some-financial-advice/" TargetMode="External"/><Relationship Id="rId116" Type="http://schemas.openxmlformats.org/officeDocument/2006/relationships/hyperlink" Target="http://andrewtobias.com/column/oona/" TargetMode="External"/><Relationship Id="rId137" Type="http://schemas.openxmlformats.org/officeDocument/2006/relationships/hyperlink" Target="http://andrewtobias.com/column/confidence-and-taxes/" TargetMode="External"/><Relationship Id="rId158" Type="http://schemas.openxmlformats.org/officeDocument/2006/relationships/hyperlink" Target="http://andrewtobias.com/column/a-mind-changing-tour-of-homewood-pa/" TargetMode="External"/><Relationship Id="rId20" Type="http://schemas.openxmlformats.org/officeDocument/2006/relationships/hyperlink" Target="http://andrewtobias.com/column/who-wants-to-be-a-millionaire/" TargetMode="External"/><Relationship Id="rId41" Type="http://schemas.openxmlformats.org/officeDocument/2006/relationships/hyperlink" Target="http://andrewtobias.com/column/time-to-nibble-i-bought-stocks-today/" TargetMode="External"/><Relationship Id="rId62" Type="http://schemas.openxmlformats.org/officeDocument/2006/relationships/hyperlink" Target="http://andrewtobias.com/column/where-to-put-your-money-now/" TargetMode="External"/><Relationship Id="rId83" Type="http://schemas.openxmlformats.org/officeDocument/2006/relationships/hyperlink" Target="http://andrewtobias.com/column/bite-by-bite/" TargetMode="External"/><Relationship Id="rId88" Type="http://schemas.openxmlformats.org/officeDocument/2006/relationships/hyperlink" Target="http://andrewtobias.com/column/wamu-citi-and-chase/" TargetMode="External"/><Relationship Id="rId111" Type="http://schemas.openxmlformats.org/officeDocument/2006/relationships/hyperlink" Target="http://andrewtobias.com/column/the-world-may-not-end/" TargetMode="External"/><Relationship Id="rId132" Type="http://schemas.openxmlformats.org/officeDocument/2006/relationships/hyperlink" Target="http://andrewtobias.com/column/as-if-you-had-any-money-left-you-could-truly-afford-to-lose/" TargetMode="External"/><Relationship Id="rId153" Type="http://schemas.openxmlformats.org/officeDocument/2006/relationships/hyperlink" Target="http://andrewtobias.com/column/if-ike-had-had-two-moms/" TargetMode="External"/><Relationship Id="rId174" Type="http://schemas.openxmlformats.org/officeDocument/2006/relationships/hyperlink" Target="http://andrewtobias.com/column/barney/" TargetMode="External"/><Relationship Id="rId179" Type="http://schemas.openxmlformats.org/officeDocument/2006/relationships/hyperlink" Target="http://andrewtobias.com/column/all-in/" TargetMode="External"/><Relationship Id="rId195" Type="http://schemas.openxmlformats.org/officeDocument/2006/relationships/hyperlink" Target="http://andrewtobias.com/column/significant-scandal/" TargetMode="External"/><Relationship Id="rId190" Type="http://schemas.openxmlformats.org/officeDocument/2006/relationships/hyperlink" Target="http://andrewtobias.com/column/a-new-speculation/" TargetMode="External"/><Relationship Id="rId15" Type="http://schemas.openxmlformats.org/officeDocument/2006/relationships/hyperlink" Target="http://andrewtobias.com/column/five-stocks-you-should-consider/" TargetMode="External"/><Relationship Id="rId36" Type="http://schemas.openxmlformats.org/officeDocument/2006/relationships/hyperlink" Target="http://andrewtobias.com/column/a-marines-mom-speaks/" TargetMode="External"/><Relationship Id="rId57" Type="http://schemas.openxmlformats.org/officeDocument/2006/relationships/hyperlink" Target="http://andrewtobias.com/column/year-end-tax-selling-and-buying/" TargetMode="External"/><Relationship Id="rId106" Type="http://schemas.openxmlformats.org/officeDocument/2006/relationships/hyperlink" Target="http://andrewtobias.com/column/tbt/" TargetMode="External"/><Relationship Id="rId127" Type="http://schemas.openxmlformats.org/officeDocument/2006/relationships/hyperlink" Target="http://andrewtobias.com/column/citizens-for-apple-pie-and-motherhood/" TargetMode="External"/><Relationship Id="rId10" Type="http://schemas.openxmlformats.org/officeDocument/2006/relationships/hyperlink" Target="http://andrewtobias.com/column/a-stock-thats/" TargetMode="External"/><Relationship Id="rId31" Type="http://schemas.openxmlformats.org/officeDocument/2006/relationships/hyperlink" Target="http://andrewtobias.com/column/letter-from-an-afghan/" TargetMode="External"/><Relationship Id="rId52" Type="http://schemas.openxmlformats.org/officeDocument/2006/relationships/hyperlink" Target="http://andrewtobias.com/column/cell-hotelscom-buy-jet-blue/" TargetMode="External"/><Relationship Id="rId73" Type="http://schemas.openxmlformats.org/officeDocument/2006/relationships/hyperlink" Target="http://andrewtobias.com/column/boring-money-stuff/" TargetMode="External"/><Relationship Id="rId78" Type="http://schemas.openxmlformats.org/officeDocument/2006/relationships/hyperlink" Target="http://andrewtobias.com/bkoldcolumns/060303.html" TargetMode="External"/><Relationship Id="rId94" Type="http://schemas.openxmlformats.org/officeDocument/2006/relationships/hyperlink" Target="http://andrewtobias.com/column/this-man-gets-on-a-bus/" TargetMode="External"/><Relationship Id="rId99" Type="http://schemas.openxmlformats.org/officeDocument/2006/relationships/hyperlink" Target="http://andrewtobias.com/column/phoning-for-2-cents-a-minute-instead-of-349/" TargetMode="External"/><Relationship Id="rId101" Type="http://schemas.openxmlformats.org/officeDocument/2006/relationships/hyperlink" Target="http://andrewtobias.com/column/yesterday-3/" TargetMode="External"/><Relationship Id="rId122" Type="http://schemas.openxmlformats.org/officeDocument/2006/relationships/hyperlink" Target="http://andrewtobias.com/column/a-more-perfect-union-a-basket-of-speculations/" TargetMode="External"/><Relationship Id="rId143" Type="http://schemas.openxmlformats.org/officeDocument/2006/relationships/hyperlink" Target="http://andrewtobias.com/column/all-17-newspaper-editorial-boards/" TargetMode="External"/><Relationship Id="rId148" Type="http://schemas.openxmlformats.org/officeDocument/2006/relationships/hyperlink" Target="http://andrewtobias.com/column/price-war/" TargetMode="External"/><Relationship Id="rId164" Type="http://schemas.openxmlformats.org/officeDocument/2006/relationships/hyperlink" Target="http://andrewtobias.com/column/the-debate/" TargetMode="External"/><Relationship Id="rId169" Type="http://schemas.openxmlformats.org/officeDocument/2006/relationships/hyperlink" Target="http://andrewtobias.com/column/a-brilliant-plan/" TargetMode="External"/><Relationship Id="rId185" Type="http://schemas.openxmlformats.org/officeDocument/2006/relationships/hyperlink" Target="http://andrewtobias.com/column/every-warship-that-is-launched/" TargetMode="External"/><Relationship Id="rId4" Type="http://schemas.openxmlformats.org/officeDocument/2006/relationships/hyperlink" Target="http://andrewtobias.com/column/boeing-bangkok-buddha-part-i/" TargetMode="External"/><Relationship Id="rId9" Type="http://schemas.openxmlformats.org/officeDocument/2006/relationships/hyperlink" Target="http://andrewtobias.com/column/amazons-little-uptick/" TargetMode="External"/><Relationship Id="rId180" Type="http://schemas.openxmlformats.org/officeDocument/2006/relationships/hyperlink" Target="http://andrewtobias.com/column/can-the-koch-brothers-buy-america/" TargetMode="External"/><Relationship Id="rId26" Type="http://schemas.openxmlformats.org/officeDocument/2006/relationships/hyperlink" Target="http://andrewtobias.com/column/how-to-de-seed-watermelon/" TargetMode="External"/><Relationship Id="rId47" Type="http://schemas.openxmlformats.org/officeDocument/2006/relationships/hyperlink" Target="http://andrewtobias.com/column/caesar-tivo-seasons-picks-aol/" TargetMode="External"/><Relationship Id="rId68" Type="http://schemas.openxmlformats.org/officeDocument/2006/relationships/hyperlink" Target="http://andrewtobias.com/column/visit-the-monkeysphere/" TargetMode="External"/><Relationship Id="rId89" Type="http://schemas.openxmlformats.org/officeDocument/2006/relationships/hyperlink" Target="http://www.andrewtobias.com/newcolumns/071123.html" TargetMode="External"/><Relationship Id="rId112" Type="http://schemas.openxmlformats.org/officeDocument/2006/relationships/hyperlink" Target="http://andrewtobias.com/column/live-longer/" TargetMode="External"/><Relationship Id="rId133" Type="http://schemas.openxmlformats.org/officeDocument/2006/relationships/hyperlink" Target="http://andrewtobias.com/column/brave-new-world/" TargetMode="External"/><Relationship Id="rId154" Type="http://schemas.openxmlformats.org/officeDocument/2006/relationships/hyperlink" Target="http://andrewtobias.com/column/cvv-worth-1708/" TargetMode="External"/><Relationship Id="rId175" Type="http://schemas.openxmlformats.org/officeDocument/2006/relationships/hyperlink" Target="http://andrewtobias.com/column/leadie-gaga-mud-bkut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61" Type="http://schemas.openxmlformats.org/officeDocument/2006/relationships/queryTable" Target="../queryTables/queryTable60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70"/>
  <sheetViews>
    <sheetView tabSelected="1" topLeftCell="A3" workbookViewId="0">
      <pane ySplit="14" topLeftCell="A17" activePane="bottomLeft" state="frozen"/>
      <selection activeCell="A3" sqref="A3"/>
      <selection pane="bottomLeft" activeCell="A16" sqref="A16"/>
    </sheetView>
  </sheetViews>
  <sheetFormatPr defaultRowHeight="15" x14ac:dyDescent="0.25"/>
  <cols>
    <col min="2" max="2" width="9.28515625" customWidth="1"/>
    <col min="3" max="3" width="31" customWidth="1"/>
    <col min="4" max="4" width="7" customWidth="1"/>
    <col min="5" max="5" width="10.7109375" bestFit="1" customWidth="1"/>
    <col min="6" max="6" width="10.7109375" style="13" hidden="1" customWidth="1"/>
    <col min="7" max="7" width="9.5703125" bestFit="1" customWidth="1"/>
    <col min="8" max="8" width="9.85546875" customWidth="1"/>
    <col min="9" max="9" width="7.85546875" customWidth="1"/>
    <col min="10" max="10" width="9.7109375" customWidth="1"/>
    <col min="11" max="11" width="7.85546875" customWidth="1"/>
    <col min="12" max="12" width="10.140625" customWidth="1"/>
    <col min="13" max="13" width="10.7109375" style="15" hidden="1" customWidth="1"/>
    <col min="14" max="14" width="12.28515625" customWidth="1"/>
    <col min="15" max="15" width="8.5703125" bestFit="1" customWidth="1"/>
    <col min="16" max="16" width="9.7109375" customWidth="1"/>
    <col min="17" max="17" width="11" customWidth="1"/>
    <col min="18" max="18" width="69" customWidth="1"/>
    <col min="27" max="27" width="10.7109375" bestFit="1" customWidth="1"/>
  </cols>
  <sheetData>
    <row r="1" spans="1:23" x14ac:dyDescent="0.25">
      <c r="B1" s="8"/>
    </row>
    <row r="3" spans="1:23" x14ac:dyDescent="0.25">
      <c r="B3" t="s">
        <v>565</v>
      </c>
    </row>
    <row r="4" spans="1:23" ht="18.75" x14ac:dyDescent="0.3">
      <c r="C4" s="29" t="s">
        <v>580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3" ht="18.75" x14ac:dyDescent="0.3">
      <c r="C5" s="27"/>
      <c r="D5" s="27"/>
      <c r="E5" s="27"/>
      <c r="F5" s="27"/>
      <c r="G5" s="27"/>
      <c r="H5" s="28"/>
      <c r="I5" s="27"/>
      <c r="J5" s="27"/>
      <c r="K5" s="27"/>
      <c r="L5" s="27"/>
      <c r="M5" s="27"/>
      <c r="N5" s="27"/>
    </row>
    <row r="6" spans="1:23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23" x14ac:dyDescent="0.25">
      <c r="C7" s="8" t="s">
        <v>572</v>
      </c>
      <c r="D7">
        <v>198</v>
      </c>
      <c r="E7" t="s">
        <v>578</v>
      </c>
      <c r="J7" s="23">
        <f>D7*1000</f>
        <v>198000</v>
      </c>
      <c r="K7" t="s">
        <v>573</v>
      </c>
      <c r="N7" s="25">
        <f>N218</f>
        <v>393017.72039703693</v>
      </c>
    </row>
    <row r="8" spans="1:23" x14ac:dyDescent="0.25">
      <c r="C8" s="8"/>
      <c r="H8" s="23"/>
      <c r="J8" s="8" t="s">
        <v>574</v>
      </c>
      <c r="N8" s="24">
        <f ca="1">O221</f>
        <v>0.15033403038978579</v>
      </c>
    </row>
    <row r="9" spans="1:23" x14ac:dyDescent="0.25">
      <c r="C9" s="8"/>
      <c r="H9" s="23"/>
      <c r="J9" t="s">
        <v>575</v>
      </c>
      <c r="N9" s="3">
        <f ca="1">O219</f>
        <v>4.4072701904893696</v>
      </c>
      <c r="O9" t="s">
        <v>576</v>
      </c>
    </row>
    <row r="10" spans="1:23" x14ac:dyDescent="0.25">
      <c r="C10" s="8"/>
      <c r="H10" s="23"/>
      <c r="J10" t="s">
        <v>577</v>
      </c>
      <c r="N10" s="12">
        <f>P219</f>
        <v>0.99865721873035307</v>
      </c>
    </row>
    <row r="11" spans="1:23" x14ac:dyDescent="0.25">
      <c r="C11" s="8"/>
      <c r="H11" s="23"/>
      <c r="N11" s="3"/>
    </row>
    <row r="12" spans="1:23" x14ac:dyDescent="0.25">
      <c r="C12" s="8"/>
      <c r="D12" t="s">
        <v>579</v>
      </c>
      <c r="H12" s="23"/>
      <c r="J12" s="23">
        <f>J7</f>
        <v>198000</v>
      </c>
      <c r="K12" t="s">
        <v>573</v>
      </c>
      <c r="N12" s="25">
        <f>N506</f>
        <v>289453.55930780782</v>
      </c>
    </row>
    <row r="13" spans="1:23" x14ac:dyDescent="0.25">
      <c r="C13" s="8"/>
      <c r="H13" s="23"/>
      <c r="J13" t="s">
        <v>574</v>
      </c>
      <c r="N13" s="24">
        <f ca="1">O510</f>
        <v>7.5650539994239818E-2</v>
      </c>
    </row>
    <row r="14" spans="1:23" x14ac:dyDescent="0.25">
      <c r="J14" t="s">
        <v>575</v>
      </c>
      <c r="N14" s="3">
        <f ca="1">N9</f>
        <v>4.4072701904893696</v>
      </c>
      <c r="O14" t="s">
        <v>576</v>
      </c>
    </row>
    <row r="15" spans="1:23" x14ac:dyDescent="0.25">
      <c r="A15" s="23">
        <f>MAX(A17:A216)</f>
        <v>53837</v>
      </c>
    </row>
    <row r="16" spans="1:23" s="1" customFormat="1" ht="90" customHeight="1" x14ac:dyDescent="0.25">
      <c r="A16" s="4" t="s">
        <v>582</v>
      </c>
      <c r="B16" s="4" t="s">
        <v>0</v>
      </c>
      <c r="C16" s="4" t="s">
        <v>1</v>
      </c>
      <c r="D16" s="4" t="s">
        <v>2</v>
      </c>
      <c r="E16" s="4" t="s">
        <v>4</v>
      </c>
      <c r="F16" s="14" t="s">
        <v>506</v>
      </c>
      <c r="G16" s="4" t="s">
        <v>5</v>
      </c>
      <c r="H16" s="4" t="s">
        <v>235</v>
      </c>
      <c r="I16" s="4" t="s">
        <v>15</v>
      </c>
      <c r="J16" s="4" t="s">
        <v>236</v>
      </c>
      <c r="K16" s="4" t="s">
        <v>237</v>
      </c>
      <c r="L16" s="11" t="s">
        <v>581</v>
      </c>
      <c r="M16" s="16" t="s">
        <v>507</v>
      </c>
      <c r="N16" s="4" t="s">
        <v>7</v>
      </c>
      <c r="O16" s="4" t="s">
        <v>3</v>
      </c>
      <c r="P16" s="4" t="s">
        <v>238</v>
      </c>
      <c r="Q16" s="4" t="s">
        <v>239</v>
      </c>
      <c r="R16" s="4" t="s">
        <v>6</v>
      </c>
      <c r="S16" s="4" t="s">
        <v>16</v>
      </c>
      <c r="T16" s="11"/>
      <c r="U16" s="4"/>
      <c r="V16" s="4"/>
      <c r="W16" s="5"/>
    </row>
    <row r="17" spans="1:27" x14ac:dyDescent="0.25">
      <c r="A17" s="23">
        <v>1000</v>
      </c>
      <c r="B17" t="s">
        <v>9</v>
      </c>
      <c r="C17" t="s">
        <v>8</v>
      </c>
      <c r="D17" t="s">
        <v>10</v>
      </c>
      <c r="E17" s="2">
        <v>35425</v>
      </c>
      <c r="F17" s="13">
        <f ca="1">E17+(365.25*O17)</f>
        <v>41659.267123287675</v>
      </c>
      <c r="G17" s="3">
        <v>11.89</v>
      </c>
      <c r="H17" s="3">
        <f>1000/G17</f>
        <v>84.104289318755249</v>
      </c>
      <c r="I17" s="3">
        <v>1</v>
      </c>
      <c r="J17" s="3">
        <f>H17*(0.24+0.59+0.55+0.55+0.81+0.12+0.04+0.04+0.04+0.03+0.04+0.05+0.08+0.34+1.08+2.04+0.4+0.14+0.1+0.12+0.17)</f>
        <v>636.66947014297716</v>
      </c>
      <c r="K17" s="3">
        <v>0</v>
      </c>
      <c r="L17" s="3">
        <f>'Data (ignore)'!B3</f>
        <v>24.52</v>
      </c>
      <c r="M17" s="15">
        <v>-1000</v>
      </c>
      <c r="N17" s="10">
        <f>H17*I17*L17+(J17)+(K17)</f>
        <v>2698.9066442388557</v>
      </c>
      <c r="O17" s="3">
        <f ca="1">($AA$17-E17)/365</f>
        <v>17.068493150684933</v>
      </c>
      <c r="P17" s="12">
        <f t="shared" ref="P17:P34" si="0">(N17-1000)/1000</f>
        <v>1.6989066442388556</v>
      </c>
      <c r="Q17" s="12">
        <f ca="1">(N17/1000)^(1/O17)-1</f>
        <v>5.989345478465613E-2</v>
      </c>
      <c r="R17" s="9" t="s">
        <v>11</v>
      </c>
      <c r="AA17" s="2">
        <f ca="1">TODAY()</f>
        <v>41655</v>
      </c>
    </row>
    <row r="18" spans="1:27" x14ac:dyDescent="0.25">
      <c r="A18" s="23">
        <v>2000</v>
      </c>
      <c r="B18" t="s">
        <v>12</v>
      </c>
      <c r="C18" t="s">
        <v>13</v>
      </c>
      <c r="D18" t="s">
        <v>10</v>
      </c>
      <c r="E18" s="2">
        <v>35439</v>
      </c>
      <c r="F18" s="13">
        <f t="shared" ref="F18:F81" ca="1" si="1">E18+(365.25*O18)</f>
        <v>41659.257534246572</v>
      </c>
      <c r="G18" s="3">
        <v>33.380000000000003</v>
      </c>
      <c r="H18" s="3">
        <f t="shared" ref="H18:H87" si="2">1000/G18</f>
        <v>29.958058717795083</v>
      </c>
      <c r="I18" s="3">
        <v>2</v>
      </c>
      <c r="J18" s="3">
        <v>0</v>
      </c>
      <c r="K18" s="3">
        <f>H18*I18*45.59</f>
        <v>2731.5757938885558</v>
      </c>
      <c r="L18" s="3">
        <f>'Data (ignore)'!B11</f>
        <v>37.47</v>
      </c>
      <c r="M18" s="15">
        <v>-1000</v>
      </c>
      <c r="N18" s="10">
        <f>H18*I18*L18+(J18)+(K18)</f>
        <v>4976.6327142001192</v>
      </c>
      <c r="O18" s="3">
        <f ca="1">($AA$17-E18)/365</f>
        <v>17.030136986301368</v>
      </c>
      <c r="P18" s="12">
        <f t="shared" si="0"/>
        <v>3.976632714200119</v>
      </c>
      <c r="Q18" s="12">
        <f ca="1">(N18/1000)^(1/O18)-1</f>
        <v>9.8812681951786274E-2</v>
      </c>
      <c r="R18" s="9" t="s">
        <v>14</v>
      </c>
      <c r="S18" t="s">
        <v>17</v>
      </c>
    </row>
    <row r="19" spans="1:27" x14ac:dyDescent="0.25">
      <c r="A19" s="23">
        <v>3000</v>
      </c>
      <c r="B19" t="s">
        <v>18</v>
      </c>
      <c r="C19" t="s">
        <v>19</v>
      </c>
      <c r="D19" t="s">
        <v>10</v>
      </c>
      <c r="E19" s="2">
        <v>35528</v>
      </c>
      <c r="F19" s="13">
        <f t="shared" ca="1" si="1"/>
        <v>41659.196575342467</v>
      </c>
      <c r="G19" s="3">
        <v>0.7</v>
      </c>
      <c r="H19" s="3">
        <f t="shared" si="2"/>
        <v>1428.5714285714287</v>
      </c>
      <c r="I19" s="3">
        <v>1</v>
      </c>
      <c r="J19" s="3">
        <v>0</v>
      </c>
      <c r="K19" s="3">
        <v>0</v>
      </c>
      <c r="L19" s="3">
        <v>0.22</v>
      </c>
      <c r="M19" s="15">
        <v>-1000</v>
      </c>
      <c r="N19" s="10">
        <f>H19*I19*L19+(J19)+(K19)</f>
        <v>314.28571428571433</v>
      </c>
      <c r="O19" s="3">
        <f ca="1">($AA$17-E19)/365</f>
        <v>16.786301369863015</v>
      </c>
      <c r="P19" s="12">
        <f t="shared" si="0"/>
        <v>-0.68571428571428572</v>
      </c>
      <c r="Q19" s="12">
        <f ca="1">(N19/1000)^(1/O19)-1</f>
        <v>-6.662872693472266E-2</v>
      </c>
      <c r="R19" s="9" t="s">
        <v>224</v>
      </c>
      <c r="S19" t="s">
        <v>539</v>
      </c>
    </row>
    <row r="20" spans="1:27" x14ac:dyDescent="0.25">
      <c r="A20" s="23">
        <v>4000</v>
      </c>
      <c r="B20" t="s">
        <v>20</v>
      </c>
      <c r="C20" t="s">
        <v>21</v>
      </c>
      <c r="D20" t="s">
        <v>10</v>
      </c>
      <c r="E20" s="2">
        <v>35541</v>
      </c>
      <c r="F20" s="13">
        <f t="shared" si="1"/>
        <v>36629.745205479456</v>
      </c>
      <c r="G20" s="3">
        <v>10</v>
      </c>
      <c r="H20" s="3">
        <f t="shared" si="2"/>
        <v>100</v>
      </c>
      <c r="I20" s="3">
        <v>1</v>
      </c>
      <c r="J20" s="3">
        <v>0</v>
      </c>
      <c r="K20" s="3">
        <v>0</v>
      </c>
      <c r="L20" s="3">
        <v>40</v>
      </c>
      <c r="M20" s="15">
        <v>-1000</v>
      </c>
      <c r="N20" s="10">
        <f>50*20+50*40</f>
        <v>3000</v>
      </c>
      <c r="O20" s="3">
        <f>(AA20-E20)/365</f>
        <v>2.9808219178082194</v>
      </c>
      <c r="P20" s="12">
        <f t="shared" si="0"/>
        <v>2</v>
      </c>
      <c r="Q20" s="12">
        <f>(N20/1000)^(1/O20)-1</f>
        <v>0.44565164998108386</v>
      </c>
      <c r="R20" s="9" t="s">
        <v>226</v>
      </c>
      <c r="S20" t="s">
        <v>225</v>
      </c>
      <c r="AA20" s="2">
        <v>36629</v>
      </c>
    </row>
    <row r="21" spans="1:27" x14ac:dyDescent="0.25">
      <c r="A21" s="23">
        <v>5000</v>
      </c>
      <c r="B21" t="s">
        <v>22</v>
      </c>
      <c r="C21" t="s">
        <v>23</v>
      </c>
      <c r="D21" t="s">
        <v>10</v>
      </c>
      <c r="E21" s="2">
        <v>35710</v>
      </c>
      <c r="F21" s="13">
        <f t="shared" si="1"/>
        <v>40394.206164383562</v>
      </c>
      <c r="G21" s="3">
        <v>50</v>
      </c>
      <c r="H21" s="3">
        <f t="shared" si="2"/>
        <v>20</v>
      </c>
      <c r="I21" s="3">
        <v>1</v>
      </c>
      <c r="J21" s="3">
        <f>H21*(2+2+2+2+2+2+2+2+1)+(12*(0.2*10+0.22+0.22+0.22+0.22+0.24+0.24+0.24+0.24+0.255+0.255+0.255+0.255+0.28+0.28+0.28+0.28+0.31+0.31+0.31+0.31+0.375+0.375+0.375+0.375+0.43+0.43+0.43+0.43+0.5+0.5+0.5+0.5+0.55+0.55+0.55))+(4*(0.125))</f>
        <v>509.58000000000004</v>
      </c>
      <c r="K21" s="3">
        <f>51*85.28+12*57.96+4*33.85+1.5*18.02</f>
        <v>5207.2299999999987</v>
      </c>
      <c r="L21" s="3">
        <v>0</v>
      </c>
      <c r="M21" s="15">
        <v>-1000</v>
      </c>
      <c r="N21" s="10">
        <f>H21*I21*L21+(J21)+(K21)</f>
        <v>5716.8099999999986</v>
      </c>
      <c r="O21" s="3">
        <f>(DATE(2010,8,1)-E21)/365</f>
        <v>12.824657534246576</v>
      </c>
      <c r="P21" s="12">
        <f t="shared" si="0"/>
        <v>4.7168099999999988</v>
      </c>
      <c r="Q21" s="12">
        <f>(N21/1000)^(1/O21)-1</f>
        <v>0.14561556772721529</v>
      </c>
      <c r="R21" s="9" t="s">
        <v>255</v>
      </c>
      <c r="S21" t="s">
        <v>254</v>
      </c>
    </row>
    <row r="22" spans="1:27" ht="15" customHeight="1" x14ac:dyDescent="0.25">
      <c r="A22" s="23">
        <v>11509</v>
      </c>
      <c r="B22" t="s">
        <v>24</v>
      </c>
      <c r="C22" t="s">
        <v>25</v>
      </c>
      <c r="D22" t="s">
        <v>26</v>
      </c>
      <c r="E22" s="2">
        <v>35902</v>
      </c>
      <c r="F22" s="13">
        <f t="shared" si="1"/>
        <v>36308.278082191784</v>
      </c>
      <c r="G22" s="3">
        <v>94.88</v>
      </c>
      <c r="H22" s="3">
        <f t="shared" si="2"/>
        <v>10.539629005059023</v>
      </c>
      <c r="I22" s="3">
        <v>6</v>
      </c>
      <c r="J22" s="3">
        <v>0</v>
      </c>
      <c r="K22" s="3">
        <v>0</v>
      </c>
      <c r="L22" s="3">
        <v>118.75</v>
      </c>
      <c r="M22" s="15">
        <v>-1000</v>
      </c>
      <c r="N22" s="10">
        <f>(H22*G22)-(H22*I22*L22)+1000</f>
        <v>-5509.4856661045542</v>
      </c>
      <c r="O22" s="3">
        <f>(DATE(1999,5,28)-E22)/365</f>
        <v>1.1123287671232878</v>
      </c>
      <c r="P22" s="12">
        <f t="shared" si="0"/>
        <v>-6.5094856661045544</v>
      </c>
      <c r="Q22" s="12">
        <f>P22/O22</f>
        <v>-5.8521238131235522</v>
      </c>
      <c r="R22" s="9" t="s">
        <v>228</v>
      </c>
      <c r="S22" t="s">
        <v>227</v>
      </c>
    </row>
    <row r="23" spans="1:27" x14ac:dyDescent="0.25">
      <c r="A23" s="23">
        <v>12509</v>
      </c>
      <c r="B23" t="s">
        <v>29</v>
      </c>
      <c r="C23" t="s">
        <v>30</v>
      </c>
      <c r="D23" t="s">
        <v>10</v>
      </c>
      <c r="E23" s="2">
        <v>36020</v>
      </c>
      <c r="F23" s="13">
        <f t="shared" si="1"/>
        <v>36567.374657534245</v>
      </c>
      <c r="G23" s="3">
        <v>0.6</v>
      </c>
      <c r="H23" s="3">
        <f t="shared" si="2"/>
        <v>1666.6666666666667</v>
      </c>
      <c r="I23" s="3">
        <v>1</v>
      </c>
      <c r="J23" s="3">
        <v>0</v>
      </c>
      <c r="K23" s="3">
        <v>0</v>
      </c>
      <c r="L23" s="3">
        <v>3.25</v>
      </c>
      <c r="M23" s="15">
        <v>-1000</v>
      </c>
      <c r="N23" s="10">
        <f>H23*I23*L23+(J23)+(K23)</f>
        <v>5416.666666666667</v>
      </c>
      <c r="O23" s="3">
        <f>(DATE(2000,2,11)-E23)/365</f>
        <v>1.4986301369863013</v>
      </c>
      <c r="P23" s="12">
        <f t="shared" si="0"/>
        <v>4.416666666666667</v>
      </c>
      <c r="Q23" s="12">
        <f>(N23/1000)^(1/O23)-1</f>
        <v>2.087463736878592</v>
      </c>
      <c r="R23" s="9" t="s">
        <v>230</v>
      </c>
      <c r="S23" t="s">
        <v>231</v>
      </c>
    </row>
    <row r="24" spans="1:27" x14ac:dyDescent="0.25">
      <c r="A24" s="23">
        <v>13509</v>
      </c>
      <c r="B24" t="s">
        <v>24</v>
      </c>
      <c r="C24" t="s">
        <v>25</v>
      </c>
      <c r="D24" t="s">
        <v>26</v>
      </c>
      <c r="E24" s="2">
        <v>36115</v>
      </c>
      <c r="F24" s="13">
        <f t="shared" si="1"/>
        <v>36308.132191780824</v>
      </c>
      <c r="G24" s="3">
        <v>128</v>
      </c>
      <c r="H24" s="3">
        <f t="shared" si="2"/>
        <v>7.8125</v>
      </c>
      <c r="I24" s="3">
        <v>6</v>
      </c>
      <c r="J24" s="3">
        <v>0</v>
      </c>
      <c r="K24" s="3">
        <v>0</v>
      </c>
      <c r="L24" s="3">
        <v>33.94</v>
      </c>
      <c r="M24" s="15">
        <v>-1000</v>
      </c>
      <c r="N24" s="10">
        <f>(H24*G24)-(H24*I24*L24)+1000</f>
        <v>409.0625</v>
      </c>
      <c r="O24" s="3">
        <f>(DATE(1999,5,28)-E24)/365</f>
        <v>0.52876712328767128</v>
      </c>
      <c r="P24" s="12">
        <f t="shared" si="0"/>
        <v>-0.5909375</v>
      </c>
      <c r="Q24" s="12">
        <f>P24/O24</f>
        <v>-1.1175761010362693</v>
      </c>
      <c r="R24" s="9" t="s">
        <v>229</v>
      </c>
      <c r="S24" t="s">
        <v>244</v>
      </c>
    </row>
    <row r="25" spans="1:27" ht="15" customHeight="1" x14ac:dyDescent="0.25">
      <c r="A25" s="23">
        <v>14100</v>
      </c>
      <c r="B25" t="s">
        <v>27</v>
      </c>
      <c r="C25" t="s">
        <v>28</v>
      </c>
      <c r="D25" t="s">
        <v>10</v>
      </c>
      <c r="E25" s="2">
        <v>36480</v>
      </c>
      <c r="F25" s="13">
        <f t="shared" ca="1" si="1"/>
        <v>41658.544520547948</v>
      </c>
      <c r="G25" s="3">
        <v>3.55</v>
      </c>
      <c r="H25" s="3">
        <f t="shared" si="2"/>
        <v>281.69014084507046</v>
      </c>
      <c r="I25" s="3">
        <v>1</v>
      </c>
      <c r="J25" s="3">
        <v>0</v>
      </c>
      <c r="K25" s="3">
        <v>0</v>
      </c>
      <c r="L25" s="3">
        <f>'Data (ignore)'!B1172</f>
        <v>16.399999999999999</v>
      </c>
      <c r="M25" s="15">
        <v>-1000</v>
      </c>
      <c r="N25" s="10">
        <f>1000/G25*L25</f>
        <v>4619.7183098591549</v>
      </c>
      <c r="O25" s="3">
        <f ca="1">($AA$17-E25)/365</f>
        <v>14.178082191780822</v>
      </c>
      <c r="P25" s="12">
        <f t="shared" si="0"/>
        <v>3.619718309859155</v>
      </c>
      <c r="Q25" s="12">
        <f t="shared" ref="Q25:Q34" ca="1" si="3">(N25/1000)^(1/O25)-1</f>
        <v>0.11397709696616776</v>
      </c>
      <c r="R25" s="9" t="s">
        <v>232</v>
      </c>
      <c r="S25" t="s">
        <v>233</v>
      </c>
    </row>
    <row r="26" spans="1:27" ht="15" customHeight="1" x14ac:dyDescent="0.25">
      <c r="A26" s="23">
        <f>15100-5416</f>
        <v>9684</v>
      </c>
      <c r="B26" t="s">
        <v>240</v>
      </c>
      <c r="C26" t="s">
        <v>241</v>
      </c>
      <c r="D26" t="s">
        <v>10</v>
      </c>
      <c r="E26" s="2">
        <v>36599</v>
      </c>
      <c r="F26" s="13">
        <f t="shared" si="1"/>
        <v>39016.654794520546</v>
      </c>
      <c r="G26" s="3">
        <v>13.13</v>
      </c>
      <c r="H26" s="3">
        <f t="shared" si="2"/>
        <v>76.161462300076153</v>
      </c>
      <c r="I26" s="3">
        <v>1</v>
      </c>
      <c r="J26" s="3">
        <v>0</v>
      </c>
      <c r="K26" s="3">
        <v>0</v>
      </c>
      <c r="L26" s="3">
        <v>34.75</v>
      </c>
      <c r="M26" s="15">
        <v>-1000</v>
      </c>
      <c r="N26" s="10">
        <f>H26*I26*L26+(J26)+(K26)</f>
        <v>2646.6108149276465</v>
      </c>
      <c r="O26" s="3">
        <f>(DATE(2006,10,25)-E26)/365</f>
        <v>6.6191780821917812</v>
      </c>
      <c r="P26" s="12">
        <f t="shared" si="0"/>
        <v>1.6466108149276466</v>
      </c>
      <c r="Q26" s="12">
        <f t="shared" si="3"/>
        <v>0.15839958732406778</v>
      </c>
      <c r="R26" s="9" t="s">
        <v>234</v>
      </c>
      <c r="S26" t="s">
        <v>242</v>
      </c>
    </row>
    <row r="27" spans="1:27" ht="15" customHeight="1" x14ac:dyDescent="0.25">
      <c r="A27" s="23">
        <v>10684</v>
      </c>
      <c r="B27" t="s">
        <v>31</v>
      </c>
      <c r="C27" t="s">
        <v>32</v>
      </c>
      <c r="D27" t="s">
        <v>10</v>
      </c>
      <c r="E27" s="2">
        <v>36599</v>
      </c>
      <c r="F27" s="13">
        <f t="shared" ca="1" si="1"/>
        <v>41658.463013698631</v>
      </c>
      <c r="G27" s="3">
        <v>22.19</v>
      </c>
      <c r="H27" s="3">
        <f t="shared" si="2"/>
        <v>45.065344749887331</v>
      </c>
      <c r="I27" s="3">
        <v>0.5</v>
      </c>
      <c r="J27" s="3">
        <f>(H27/4)*(14+0.1+0.1+0.1+0.1+0.15)+H27/2*(0.1+0.1+0.1)</f>
        <v>170.68499324019825</v>
      </c>
      <c r="K27" s="3">
        <v>0</v>
      </c>
      <c r="L27" s="3">
        <f>'Data (ignore)'!B27</f>
        <v>9.77</v>
      </c>
      <c r="M27" s="15">
        <v>-1000</v>
      </c>
      <c r="N27" s="10">
        <f t="shared" ref="N27:N34" si="4">H27*I27*L27+(J27)+(K27)</f>
        <v>390.82920234339781</v>
      </c>
      <c r="O27" s="3">
        <f t="shared" ref="O27:O33" ca="1" si="5">($AA$17-E27)/365</f>
        <v>13.852054794520548</v>
      </c>
      <c r="P27" s="12">
        <f t="shared" si="0"/>
        <v>-0.6091707976566022</v>
      </c>
      <c r="Q27" s="12">
        <f t="shared" ca="1" si="3"/>
        <v>-6.5573926743236477E-2</v>
      </c>
      <c r="R27" s="9" t="s">
        <v>234</v>
      </c>
    </row>
    <row r="28" spans="1:27" ht="15" customHeight="1" x14ac:dyDescent="0.25">
      <c r="A28" s="23">
        <v>11684</v>
      </c>
      <c r="B28" t="s">
        <v>33</v>
      </c>
      <c r="C28" t="s">
        <v>34</v>
      </c>
      <c r="D28" t="s">
        <v>10</v>
      </c>
      <c r="E28" s="2">
        <v>36599</v>
      </c>
      <c r="F28" s="13">
        <f t="shared" ca="1" si="1"/>
        <v>41658.463013698631</v>
      </c>
      <c r="G28" s="3">
        <v>40.119999999999997</v>
      </c>
      <c r="H28" s="3">
        <f t="shared" si="2"/>
        <v>24.925224327018945</v>
      </c>
      <c r="I28" s="3">
        <v>2</v>
      </c>
      <c r="J28" s="3">
        <f>H28*2*(0.13+0.13+0.13+0.13+0.14+0.14+0.14+0.14+0.15+0.15+0.15+0.15+0.16+0.16+0.16+0.16+0.18+0.18+0.18+0.18+0.2+0.2+0.2+0.2+0.23+0.23+0.23+0.23+0.29+0.29+0.29+0.29+0.35+0.35+0.35+0.35+0.38+0.38+0.38+0.38+0.42+0.42+0.42+0.42+0.47+0.47+0.47+0.47+0.51+0.51+0.51+0.51+0.56+0.56+0.56)</f>
        <v>803.58923230309097</v>
      </c>
      <c r="K28" s="3">
        <v>0</v>
      </c>
      <c r="L28" s="3">
        <f>'Data (ignore)'!B43</f>
        <v>95.59</v>
      </c>
      <c r="M28" s="15">
        <v>-1000</v>
      </c>
      <c r="N28" s="10">
        <f t="shared" si="4"/>
        <v>5568.7936191425733</v>
      </c>
      <c r="O28" s="3">
        <f t="shared" ca="1" si="5"/>
        <v>13.852054794520548</v>
      </c>
      <c r="P28" s="12">
        <f t="shared" si="0"/>
        <v>4.5687936191425731</v>
      </c>
      <c r="Q28" s="12">
        <f t="shared" ca="1" si="3"/>
        <v>0.13197694349720024</v>
      </c>
      <c r="R28" s="9" t="s">
        <v>234</v>
      </c>
    </row>
    <row r="29" spans="1:27" ht="15" customHeight="1" x14ac:dyDescent="0.25">
      <c r="A29" s="23">
        <v>12684</v>
      </c>
      <c r="B29" t="s">
        <v>35</v>
      </c>
      <c r="C29" t="s">
        <v>36</v>
      </c>
      <c r="D29" t="s">
        <v>10</v>
      </c>
      <c r="E29" s="2">
        <v>36599</v>
      </c>
      <c r="F29" s="13">
        <f t="shared" ca="1" si="1"/>
        <v>41658.463013698631</v>
      </c>
      <c r="G29" s="3">
        <v>24.75</v>
      </c>
      <c r="H29" s="3">
        <f t="shared" si="2"/>
        <v>40.404040404040401</v>
      </c>
      <c r="I29" s="3">
        <v>1</v>
      </c>
      <c r="J29" s="3">
        <f>H29*(0.08+0.08+0.08+0.08+0.1+0.1+0.1+0.1+0.12+0.12+0.12+0.12+0.12+0.14+0.14+0.14+0.14+0.14+0.14+0.14+0.14+0.14+0.05+0.05+0.05+0.05+0.05+0.05+0.05+0.05+0.05+0.05+0.05+0.05+0.05+0.05+0.05+0.05+0.05+0.05+0.05+0.05)</f>
        <v>144.64646464646455</v>
      </c>
      <c r="K29" s="3">
        <v>0</v>
      </c>
      <c r="L29" s="3">
        <f>'Data (ignore)'!B59</f>
        <v>14.83</v>
      </c>
      <c r="M29" s="15">
        <v>-1000</v>
      </c>
      <c r="N29" s="10">
        <f t="shared" si="4"/>
        <v>743.83838383838372</v>
      </c>
      <c r="O29" s="3">
        <f t="shared" ca="1" si="5"/>
        <v>13.852054794520548</v>
      </c>
      <c r="P29" s="12">
        <f t="shared" si="0"/>
        <v>-0.25616161616161626</v>
      </c>
      <c r="Q29" s="12">
        <f t="shared" ca="1" si="3"/>
        <v>-2.1137137397755579E-2</v>
      </c>
      <c r="R29" s="9" t="s">
        <v>234</v>
      </c>
      <c r="S29" s="3"/>
    </row>
    <row r="30" spans="1:27" ht="15" customHeight="1" x14ac:dyDescent="0.25">
      <c r="A30" s="23">
        <v>13684</v>
      </c>
      <c r="B30" t="s">
        <v>37</v>
      </c>
      <c r="C30" t="s">
        <v>38</v>
      </c>
      <c r="D30" t="s">
        <v>10</v>
      </c>
      <c r="E30" s="2">
        <v>36599</v>
      </c>
      <c r="F30" s="13">
        <f t="shared" ca="1" si="1"/>
        <v>41658.463013698631</v>
      </c>
      <c r="G30" s="3">
        <v>17.940000000000001</v>
      </c>
      <c r="H30" s="3">
        <f t="shared" si="2"/>
        <v>55.741360089186173</v>
      </c>
      <c r="I30" s="3">
        <v>1</v>
      </c>
      <c r="J30" s="3">
        <f>H30*(0.17+0.17+0.17+0.188+0.188+0.188+0.188+0.195+0.195+0.195+0.195+0.195+0.205+0.205+0.24+0.416+0.24+0.24+0.24+0.3+0.3+0.3+0.3+0.33+0.33+0.33+0.33+0.4+0.4+0.4+0.4+0.425+0.425+0.425+0.425+0.425+0.05+0.05+0.05+0.05+0.05+0.05+0.05+0.05+0.125+0.125+0.125+0.125+0.195*5+0.23+0.23)</f>
        <v>702.50836120401391</v>
      </c>
      <c r="K30" s="3">
        <v>0</v>
      </c>
      <c r="L30" s="3">
        <f>'Data (ignore)'!B75</f>
        <v>41.5</v>
      </c>
      <c r="M30" s="15">
        <v>-1000</v>
      </c>
      <c r="N30" s="10">
        <f t="shared" si="4"/>
        <v>3015.7748049052402</v>
      </c>
      <c r="O30" s="3">
        <f t="shared" ca="1" si="5"/>
        <v>13.852054794520548</v>
      </c>
      <c r="P30" s="12">
        <f t="shared" si="0"/>
        <v>2.0157748049052402</v>
      </c>
      <c r="Q30" s="12">
        <f t="shared" ca="1" si="3"/>
        <v>8.2950247959425738E-2</v>
      </c>
      <c r="R30" s="9" t="s">
        <v>234</v>
      </c>
    </row>
    <row r="31" spans="1:27" ht="15" customHeight="1" x14ac:dyDescent="0.25">
      <c r="A31" s="23">
        <f>14684-3000</f>
        <v>11684</v>
      </c>
      <c r="B31" t="s">
        <v>39</v>
      </c>
      <c r="C31" t="s">
        <v>40</v>
      </c>
      <c r="D31" t="s">
        <v>10</v>
      </c>
      <c r="E31" s="2">
        <v>36649</v>
      </c>
      <c r="F31" s="13">
        <f t="shared" ca="1" si="1"/>
        <v>41658.428767123289</v>
      </c>
      <c r="G31" s="3">
        <v>36.380000000000003</v>
      </c>
      <c r="H31" s="3">
        <f t="shared" si="2"/>
        <v>27.487630566245187</v>
      </c>
      <c r="I31" s="3">
        <v>1</v>
      </c>
      <c r="J31" s="3">
        <f>H31*(0.48+0.48+0.53+0.53+0.53+0.6+0.66+0.31+0.66+0.66+0.66+0.68+0.68+0.68+0.68+0.71+0.16+0.87+0.71+0.71+0.76+0.76+0.76+0.76+0.8+0.77+0.8+0.8+0.8+1.39+0.85+0.85+0.85+0.9+0.9+0.9+0.9+0.95+0.95+0.95+0.375+0.375+0.65+0.65+0.65+0.65+0.69+0.69+0.69+0.69+0.69+0.73+0.73+0.73+0.73)</f>
        <v>1074.7663551401861</v>
      </c>
      <c r="K31" s="3">
        <v>0</v>
      </c>
      <c r="L31" s="3">
        <f>'Data (ignore)'!B91</f>
        <v>92.01</v>
      </c>
      <c r="M31" s="15">
        <v>-1000</v>
      </c>
      <c r="N31" s="10">
        <f t="shared" si="4"/>
        <v>3603.903243540406</v>
      </c>
      <c r="O31" s="3">
        <f t="shared" ca="1" si="5"/>
        <v>13.715068493150685</v>
      </c>
      <c r="P31" s="12">
        <f t="shared" si="0"/>
        <v>2.6039032435404059</v>
      </c>
      <c r="Q31" s="12">
        <f t="shared" ca="1" si="3"/>
        <v>9.7983270704343761E-2</v>
      </c>
      <c r="R31" s="9" t="s">
        <v>243</v>
      </c>
    </row>
    <row r="32" spans="1:27" ht="15" customHeight="1" x14ac:dyDescent="0.25">
      <c r="A32" s="23">
        <v>12684</v>
      </c>
      <c r="B32" t="s">
        <v>41</v>
      </c>
      <c r="C32" t="s">
        <v>42</v>
      </c>
      <c r="D32" t="s">
        <v>10</v>
      </c>
      <c r="E32" s="2">
        <v>36649</v>
      </c>
      <c r="F32" s="13">
        <f t="shared" ca="1" si="1"/>
        <v>41658.428767123289</v>
      </c>
      <c r="G32" s="3">
        <v>16.420000000000002</v>
      </c>
      <c r="H32" s="3">
        <f t="shared" si="2"/>
        <v>60.901339829476242</v>
      </c>
      <c r="I32" s="3">
        <v>1</v>
      </c>
      <c r="J32" s="3">
        <f>H32*(1.56+1.56+1.56+1.56+1.6+1.67+1.76+1.88+1.54+1.44+1.44+0.36*8)</f>
        <v>1245.4323995127891</v>
      </c>
      <c r="K32" s="3">
        <v>0</v>
      </c>
      <c r="L32" s="3">
        <f>'Data (ignore)'!B107</f>
        <v>47.12</v>
      </c>
      <c r="M32" s="15">
        <v>-1000</v>
      </c>
      <c r="N32" s="10">
        <f t="shared" si="4"/>
        <v>4115.1035322777097</v>
      </c>
      <c r="O32" s="3">
        <f t="shared" ca="1" si="5"/>
        <v>13.715068493150685</v>
      </c>
      <c r="P32" s="12">
        <f t="shared" si="0"/>
        <v>3.1151035322777099</v>
      </c>
      <c r="Q32" s="12">
        <f t="shared" ca="1" si="3"/>
        <v>0.10865403169836019</v>
      </c>
      <c r="R32" s="9" t="s">
        <v>243</v>
      </c>
    </row>
    <row r="33" spans="1:19" x14ac:dyDescent="0.25">
      <c r="A33" s="23">
        <v>13684</v>
      </c>
      <c r="B33" t="s">
        <v>43</v>
      </c>
      <c r="C33" t="s">
        <v>44</v>
      </c>
      <c r="D33" t="s">
        <v>10</v>
      </c>
      <c r="E33" s="2">
        <v>36649</v>
      </c>
      <c r="F33" s="13">
        <f t="shared" ca="1" si="1"/>
        <v>41658.428767123289</v>
      </c>
      <c r="G33" s="3">
        <v>10.91</v>
      </c>
      <c r="H33" s="3">
        <f t="shared" si="2"/>
        <v>91.659028414298803</v>
      </c>
      <c r="I33" s="3">
        <v>1</v>
      </c>
      <c r="J33" s="3">
        <f>H33*(0.18+0.19+0.31+0.12+0.19+0.21+0.29+0.11+0.17+0.2+0.28+0.12+0.17+0.22+0.27+0.13+0.2+0.2+0.42+0.2+0.21+0.22+0.535+0.13+0.22+0.22+0.49+0.15+0.29+0.24+0.33+0.16+0.26+0.25+0.31+0.15+0.16+0.13+0.19+0.118+0.148+0.148+0.189+0.13+0.158+0.159+0.207+0.159+0.165+0.167+0.256+0.17+0.201+0.197)</f>
        <v>1044.6379468377636</v>
      </c>
      <c r="K33" s="3">
        <v>0</v>
      </c>
      <c r="L33" s="3">
        <f>'Data (ignore)'!B124</f>
        <v>22.12</v>
      </c>
      <c r="M33" s="15">
        <v>-1000</v>
      </c>
      <c r="N33" s="10">
        <f t="shared" si="4"/>
        <v>3072.1356553620535</v>
      </c>
      <c r="O33" s="3">
        <f t="shared" ca="1" si="5"/>
        <v>13.715068493150685</v>
      </c>
      <c r="P33" s="12">
        <f t="shared" si="0"/>
        <v>2.0721356553620534</v>
      </c>
      <c r="Q33" s="12">
        <f t="shared" ca="1" si="3"/>
        <v>8.5276751523310823E-2</v>
      </c>
      <c r="R33" s="9" t="s">
        <v>243</v>
      </c>
    </row>
    <row r="34" spans="1:19" x14ac:dyDescent="0.25">
      <c r="A34" s="23">
        <v>14684</v>
      </c>
      <c r="B34" t="s">
        <v>29</v>
      </c>
      <c r="C34" t="s">
        <v>30</v>
      </c>
      <c r="D34" t="s">
        <v>10</v>
      </c>
      <c r="E34" s="2">
        <v>36731</v>
      </c>
      <c r="F34" s="13">
        <f t="shared" si="1"/>
        <v>37096.25</v>
      </c>
      <c r="G34" s="3">
        <v>4.25</v>
      </c>
      <c r="H34" s="3">
        <f t="shared" si="2"/>
        <v>235.29411764705881</v>
      </c>
      <c r="I34" s="3">
        <v>1</v>
      </c>
      <c r="J34" s="3">
        <f>5*H34</f>
        <v>1176.4705882352941</v>
      </c>
      <c r="K34" s="3">
        <v>0</v>
      </c>
      <c r="L34" s="3">
        <v>0</v>
      </c>
      <c r="M34" s="15">
        <v>-1000</v>
      </c>
      <c r="N34" s="10">
        <f t="shared" si="4"/>
        <v>1176.4705882352941</v>
      </c>
      <c r="O34" s="3">
        <v>1</v>
      </c>
      <c r="P34" s="12">
        <f t="shared" si="0"/>
        <v>0.17647058823529416</v>
      </c>
      <c r="Q34" s="12">
        <f t="shared" si="3"/>
        <v>0.17647058823529416</v>
      </c>
      <c r="R34" s="9" t="s">
        <v>245</v>
      </c>
    </row>
    <row r="35" spans="1:19" x14ac:dyDescent="0.25">
      <c r="A35" s="23">
        <v>15684</v>
      </c>
      <c r="B35" t="s">
        <v>45</v>
      </c>
      <c r="C35" t="s">
        <v>46</v>
      </c>
      <c r="D35" t="s">
        <v>10</v>
      </c>
      <c r="E35" s="2">
        <v>36760</v>
      </c>
      <c r="F35" s="13">
        <f t="shared" ca="1" si="1"/>
        <v>41658.352739726026</v>
      </c>
      <c r="G35" s="3">
        <v>71</v>
      </c>
      <c r="H35" s="3">
        <f t="shared" si="2"/>
        <v>14.084507042253522</v>
      </c>
      <c r="I35" s="3">
        <v>2</v>
      </c>
      <c r="J35" s="3">
        <f>H35*2*(0.08+0.16+0.08+3.08+0.08+0.08+0.08+0.08+0.09+0.09+0.09+0.1+0.1+0.1+0.1+0.11+0.11+0.11+0.11+0.13+0.13+0.13+0.13+0.13+0.13+0.13+0.13+0.16+0.16+0.16+0.16+0.2+0.2+0.2+0.2+0.23+0.23+0.23+0.23)</f>
        <v>231.83098591549305</v>
      </c>
      <c r="K35" s="3">
        <v>0</v>
      </c>
      <c r="L35" s="3">
        <f>'Data (ignore)'!B132</f>
        <v>36.76</v>
      </c>
      <c r="M35" s="15">
        <v>-1000</v>
      </c>
      <c r="N35" s="10">
        <f t="shared" ref="N35:N40" si="6">H35*I35*L35+(J35)+(K35)</f>
        <v>1267.323943661972</v>
      </c>
      <c r="O35" s="3">
        <f ca="1">($AA$17-E35)/365</f>
        <v>13.41095890410959</v>
      </c>
      <c r="P35" s="12">
        <f>(N35-1000)/1000</f>
        <v>0.26732394366197193</v>
      </c>
      <c r="Q35" s="12">
        <f t="shared" ref="Q35:Q45" ca="1" si="7">(N35/1000)^(1/O35)-1</f>
        <v>1.7822173364013372E-2</v>
      </c>
      <c r="R35" s="9" t="s">
        <v>246</v>
      </c>
    </row>
    <row r="36" spans="1:19" x14ac:dyDescent="0.25">
      <c r="A36" s="23">
        <v>16684</v>
      </c>
      <c r="B36" t="s">
        <v>47</v>
      </c>
      <c r="C36" t="s">
        <v>48</v>
      </c>
      <c r="D36" t="s">
        <v>10</v>
      </c>
      <c r="E36" s="2">
        <v>36760</v>
      </c>
      <c r="F36" s="13">
        <f t="shared" ca="1" si="1"/>
        <v>41658.352739726026</v>
      </c>
      <c r="G36" s="3">
        <v>25</v>
      </c>
      <c r="H36" s="3">
        <f t="shared" si="2"/>
        <v>40</v>
      </c>
      <c r="I36" s="3">
        <v>1</v>
      </c>
      <c r="J36" s="3">
        <f>H36*((31*0.06)+(8*0.12)+0.18+0.18+0.18+0.18+0.2*9+0.24)</f>
        <v>223.20000000000005</v>
      </c>
      <c r="K36" s="3">
        <v>0</v>
      </c>
      <c r="L36" s="3">
        <f>'Data (ignore)'!B148</f>
        <v>167.32</v>
      </c>
      <c r="M36" s="15">
        <v>-1000</v>
      </c>
      <c r="N36" s="10">
        <f t="shared" si="6"/>
        <v>6915.9999999999991</v>
      </c>
      <c r="O36" s="3">
        <f ca="1">($AA$17-E36)/365</f>
        <v>13.41095890410959</v>
      </c>
      <c r="P36" s="12">
        <f>(N36-1000)/1000</f>
        <v>5.9159999999999995</v>
      </c>
      <c r="Q36" s="12">
        <f t="shared" ca="1" si="7"/>
        <v>0.15511315271719339</v>
      </c>
      <c r="R36" s="9" t="s">
        <v>246</v>
      </c>
    </row>
    <row r="37" spans="1:19" x14ac:dyDescent="0.25">
      <c r="A37" s="23">
        <v>17684</v>
      </c>
      <c r="B37" t="s">
        <v>49</v>
      </c>
      <c r="C37" t="s">
        <v>50</v>
      </c>
      <c r="D37" t="s">
        <v>10</v>
      </c>
      <c r="E37" s="2">
        <v>36760</v>
      </c>
      <c r="F37" s="13">
        <f t="shared" si="1"/>
        <v>39004.536301369866</v>
      </c>
      <c r="G37" s="3">
        <v>6.5</v>
      </c>
      <c r="H37" s="3">
        <f t="shared" si="2"/>
        <v>153.84615384615384</v>
      </c>
      <c r="I37" s="3">
        <v>1</v>
      </c>
      <c r="J37" s="3">
        <v>0</v>
      </c>
      <c r="K37" s="3">
        <v>0</v>
      </c>
      <c r="L37" s="3">
        <v>13.1</v>
      </c>
      <c r="M37" s="15">
        <v>-1000</v>
      </c>
      <c r="N37" s="10">
        <f t="shared" si="6"/>
        <v>2015.3846153846152</v>
      </c>
      <c r="O37" s="3">
        <f>(DATE(2006,10,13)-E37)/365</f>
        <v>6.1452054794520548</v>
      </c>
      <c r="P37" s="12">
        <f>(N37-1000)/1000</f>
        <v>1.0153846153846153</v>
      </c>
      <c r="Q37" s="12">
        <f t="shared" si="7"/>
        <v>0.12079892935784131</v>
      </c>
      <c r="R37" s="9" t="s">
        <v>246</v>
      </c>
      <c r="S37" t="s">
        <v>131</v>
      </c>
    </row>
    <row r="38" spans="1:19" x14ac:dyDescent="0.25">
      <c r="A38" s="23">
        <v>18684</v>
      </c>
      <c r="B38" t="s">
        <v>51</v>
      </c>
      <c r="C38" t="s">
        <v>52</v>
      </c>
      <c r="D38" t="s">
        <v>10</v>
      </c>
      <c r="E38" s="2">
        <v>36760</v>
      </c>
      <c r="F38" s="13">
        <f t="shared" si="1"/>
        <v>38996.530821917811</v>
      </c>
      <c r="G38" s="3">
        <v>1.56</v>
      </c>
      <c r="H38" s="3">
        <f t="shared" si="2"/>
        <v>641.02564102564099</v>
      </c>
      <c r="I38" s="3">
        <v>0.1</v>
      </c>
      <c r="J38" s="3">
        <v>0</v>
      </c>
      <c r="K38" s="3">
        <v>0</v>
      </c>
      <c r="L38" s="3">
        <v>20</v>
      </c>
      <c r="M38" s="15">
        <v>-1000</v>
      </c>
      <c r="N38" s="10">
        <f t="shared" si="6"/>
        <v>1282.051282051282</v>
      </c>
      <c r="O38" s="3">
        <f>(DATE(2006,10,5)-E38)/365</f>
        <v>6.1232876712328768</v>
      </c>
      <c r="P38" s="12">
        <f>(N38-1000)/1000</f>
        <v>0.28205128205128199</v>
      </c>
      <c r="Q38" s="12">
        <f t="shared" si="7"/>
        <v>4.1410936686540056E-2</v>
      </c>
      <c r="R38" s="9" t="s">
        <v>246</v>
      </c>
      <c r="S38" t="s">
        <v>247</v>
      </c>
    </row>
    <row r="39" spans="1:19" x14ac:dyDescent="0.25">
      <c r="A39" s="23">
        <v>19684</v>
      </c>
      <c r="B39" t="s">
        <v>29</v>
      </c>
      <c r="C39" t="s">
        <v>30</v>
      </c>
      <c r="D39" t="s">
        <v>10</v>
      </c>
      <c r="E39" s="2">
        <v>36760</v>
      </c>
      <c r="F39" s="13">
        <f t="shared" si="1"/>
        <v>37663.618493150687</v>
      </c>
      <c r="G39" s="3">
        <v>4.5</v>
      </c>
      <c r="H39" s="3">
        <f t="shared" si="2"/>
        <v>222.22222222222223</v>
      </c>
      <c r="I39" s="3">
        <v>1</v>
      </c>
      <c r="J39" s="3">
        <f>5*H39</f>
        <v>1111.1111111111111</v>
      </c>
      <c r="K39" s="3">
        <v>0</v>
      </c>
      <c r="L39" s="3">
        <v>0</v>
      </c>
      <c r="M39" s="15">
        <v>-1000</v>
      </c>
      <c r="N39" s="10">
        <f t="shared" si="6"/>
        <v>1111.1111111111111</v>
      </c>
      <c r="O39" s="3">
        <f>(DATE(2003,2,11)-E39)/365</f>
        <v>2.473972602739726</v>
      </c>
      <c r="P39" s="12">
        <f>(N39-1000)/1000</f>
        <v>0.11111111111111109</v>
      </c>
      <c r="Q39" s="12">
        <f t="shared" si="7"/>
        <v>4.3507446769482261E-2</v>
      </c>
      <c r="R39" s="9" t="s">
        <v>246</v>
      </c>
    </row>
    <row r="40" spans="1:19" x14ac:dyDescent="0.25">
      <c r="A40" s="23">
        <v>20684</v>
      </c>
      <c r="B40" t="s">
        <v>27</v>
      </c>
      <c r="C40" t="s">
        <v>28</v>
      </c>
      <c r="D40" t="s">
        <v>10</v>
      </c>
      <c r="E40" s="2">
        <v>36760</v>
      </c>
      <c r="F40" s="13">
        <f t="shared" ca="1" si="1"/>
        <v>41658.352739726026</v>
      </c>
      <c r="G40" s="3">
        <v>3.5</v>
      </c>
      <c r="H40" s="3">
        <f t="shared" si="2"/>
        <v>285.71428571428572</v>
      </c>
      <c r="I40" s="3">
        <v>1</v>
      </c>
      <c r="J40" s="3">
        <v>0</v>
      </c>
      <c r="K40" s="3">
        <v>0</v>
      </c>
      <c r="L40" s="3">
        <f>'Data (ignore)'!B1172</f>
        <v>16.399999999999999</v>
      </c>
      <c r="M40" s="15">
        <v>-1000</v>
      </c>
      <c r="N40" s="10">
        <f t="shared" si="6"/>
        <v>4685.7142857142853</v>
      </c>
      <c r="O40" s="3">
        <f ca="1">($AA$17-E40)/365</f>
        <v>13.41095890410959</v>
      </c>
      <c r="P40" s="12">
        <f t="shared" ref="P40:P45" si="8">(N40-1000)/1000</f>
        <v>3.6857142857142855</v>
      </c>
      <c r="Q40" s="12">
        <f t="shared" ca="1" si="7"/>
        <v>0.12206235076931438</v>
      </c>
      <c r="R40" s="9" t="s">
        <v>246</v>
      </c>
    </row>
    <row r="41" spans="1:19" x14ac:dyDescent="0.25">
      <c r="A41" s="23">
        <v>21684</v>
      </c>
      <c r="B41" t="s">
        <v>53</v>
      </c>
      <c r="C41" t="s">
        <v>54</v>
      </c>
      <c r="D41" t="s">
        <v>10</v>
      </c>
      <c r="E41" s="2">
        <v>36798</v>
      </c>
      <c r="F41" s="13">
        <f t="shared" ca="1" si="1"/>
        <v>41658.326712328766</v>
      </c>
      <c r="G41" s="3">
        <v>29.94</v>
      </c>
      <c r="H41" s="3">
        <f t="shared" si="2"/>
        <v>33.400133600534403</v>
      </c>
      <c r="I41" s="3">
        <v>1</v>
      </c>
      <c r="J41" s="3">
        <f>H41*(2+0.92+0.92+1.17)+17*(1.67+2.12+3.8+4.25+5.55+8.15+8.25+6+6.5)</f>
        <v>954.26466933867732</v>
      </c>
      <c r="K41" s="3">
        <v>0</v>
      </c>
      <c r="L41" s="3">
        <f>'Data (ignore)'!B164</f>
        <v>78.680000000000007</v>
      </c>
      <c r="M41" s="15">
        <v>-1000</v>
      </c>
      <c r="N41" s="10">
        <f>(H41/2)*45.05*I41+(H41/2)*L41+(J41)+(K41)</f>
        <v>3020.5639345357381</v>
      </c>
      <c r="O41" s="3">
        <f ca="1">($AA$17-E41)/365</f>
        <v>13.306849315068494</v>
      </c>
      <c r="P41" s="12">
        <f t="shared" si="8"/>
        <v>2.0205639345357382</v>
      </c>
      <c r="Q41" s="12">
        <f t="shared" ca="1" si="7"/>
        <v>8.6621427384301342E-2</v>
      </c>
      <c r="R41" s="9" t="s">
        <v>248</v>
      </c>
      <c r="S41" t="s">
        <v>110</v>
      </c>
    </row>
    <row r="42" spans="1:19" x14ac:dyDescent="0.25">
      <c r="A42" s="23">
        <v>22684</v>
      </c>
      <c r="B42" t="s">
        <v>55</v>
      </c>
      <c r="C42" t="s">
        <v>56</v>
      </c>
      <c r="D42" t="s">
        <v>26</v>
      </c>
      <c r="E42" s="2">
        <v>36811</v>
      </c>
      <c r="F42" s="13">
        <f t="shared" si="1"/>
        <v>37226.284246575342</v>
      </c>
      <c r="G42" s="3">
        <v>199.61</v>
      </c>
      <c r="H42" s="3">
        <f t="shared" si="2"/>
        <v>5.0097690496468106</v>
      </c>
      <c r="I42" s="3">
        <v>1</v>
      </c>
      <c r="J42" s="3">
        <v>0</v>
      </c>
      <c r="K42" s="3">
        <v>0</v>
      </c>
      <c r="L42" s="3">
        <v>20</v>
      </c>
      <c r="M42" s="15">
        <v>-1000</v>
      </c>
      <c r="N42" s="10">
        <f>(H42*G42)-(H42*I42*L42)+1000</f>
        <v>1899.8046190070636</v>
      </c>
      <c r="O42" s="3">
        <f>(DATE(2001,12,1)-E42)/365</f>
        <v>1.1369863013698631</v>
      </c>
      <c r="P42" s="12">
        <f t="shared" si="8"/>
        <v>0.89980461900706354</v>
      </c>
      <c r="Q42" s="12">
        <f t="shared" si="7"/>
        <v>0.75844807645298262</v>
      </c>
      <c r="R42" s="9" t="s">
        <v>249</v>
      </c>
      <c r="S42" t="s">
        <v>256</v>
      </c>
    </row>
    <row r="43" spans="1:19" x14ac:dyDescent="0.25">
      <c r="A43" s="23">
        <v>23684</v>
      </c>
      <c r="B43" t="s">
        <v>57</v>
      </c>
      <c r="C43" t="s">
        <v>58</v>
      </c>
      <c r="D43" t="s">
        <v>10</v>
      </c>
      <c r="E43" s="2">
        <v>36868</v>
      </c>
      <c r="F43" s="13">
        <f t="shared" ca="1" si="1"/>
        <v>41658.278767123287</v>
      </c>
      <c r="G43" s="3">
        <v>10</v>
      </c>
      <c r="H43" s="3">
        <f t="shared" si="2"/>
        <v>100</v>
      </c>
      <c r="I43" s="3">
        <v>1</v>
      </c>
      <c r="J43" s="3">
        <f>H43*((0.12*29)+0.044+0.18+0.135*5)</f>
        <v>437.90000000000003</v>
      </c>
      <c r="K43" s="3">
        <v>0</v>
      </c>
      <c r="L43" s="3">
        <f>'Data (ignore)'!B180</f>
        <v>13.87</v>
      </c>
      <c r="M43" s="15">
        <v>-1000</v>
      </c>
      <c r="N43" s="10">
        <f>H43*I43*L43+(J43)+(K43)</f>
        <v>1824.9</v>
      </c>
      <c r="O43" s="3">
        <f ca="1">($AA$17-E43)/365</f>
        <v>13.115068493150686</v>
      </c>
      <c r="P43" s="12">
        <f t="shared" si="8"/>
        <v>0.82490000000000008</v>
      </c>
      <c r="Q43" s="12">
        <f t="shared" ca="1" si="7"/>
        <v>4.6933270972366659E-2</v>
      </c>
      <c r="R43" s="9" t="s">
        <v>250</v>
      </c>
    </row>
    <row r="44" spans="1:19" x14ac:dyDescent="0.25">
      <c r="A44" s="23">
        <v>24684</v>
      </c>
      <c r="B44" t="s">
        <v>60</v>
      </c>
      <c r="C44" t="s">
        <v>59</v>
      </c>
      <c r="D44" t="s">
        <v>10</v>
      </c>
      <c r="E44" s="2">
        <v>36894</v>
      </c>
      <c r="F44" s="13">
        <f t="shared" si="1"/>
        <v>37258.24931506849</v>
      </c>
      <c r="G44" s="3">
        <v>12</v>
      </c>
      <c r="H44" s="3">
        <f t="shared" si="2"/>
        <v>83.333333333333329</v>
      </c>
      <c r="I44" s="3">
        <v>1</v>
      </c>
      <c r="J44" s="3">
        <f>H44*2.34</f>
        <v>194.99999999999997</v>
      </c>
      <c r="K44" s="3">
        <v>0</v>
      </c>
      <c r="L44" s="3">
        <v>24.35</v>
      </c>
      <c r="M44" s="15">
        <v>-1000</v>
      </c>
      <c r="N44" s="10">
        <f>H44*I44*L44+(J44)+(K44)</f>
        <v>2224.1666666666665</v>
      </c>
      <c r="O44" s="3">
        <f>(DATE(2002,1,2)-E44)/365</f>
        <v>0.99726027397260275</v>
      </c>
      <c r="P44" s="12">
        <f t="shared" si="8"/>
        <v>1.2241666666666666</v>
      </c>
      <c r="Q44" s="12">
        <f t="shared" si="7"/>
        <v>1.2290565381472307</v>
      </c>
      <c r="R44" s="9" t="s">
        <v>258</v>
      </c>
      <c r="S44" t="s">
        <v>257</v>
      </c>
    </row>
    <row r="45" spans="1:19" x14ac:dyDescent="0.25">
      <c r="A45" s="23">
        <v>25684</v>
      </c>
      <c r="B45" t="s">
        <v>29</v>
      </c>
      <c r="C45" t="s">
        <v>30</v>
      </c>
      <c r="D45" t="s">
        <v>10</v>
      </c>
      <c r="E45" s="2">
        <v>37046</v>
      </c>
      <c r="F45" s="13">
        <f t="shared" si="1"/>
        <v>37663.422602739724</v>
      </c>
      <c r="G45" s="3">
        <v>5.94</v>
      </c>
      <c r="H45" s="3">
        <f t="shared" si="2"/>
        <v>168.35016835016833</v>
      </c>
      <c r="I45" s="3">
        <v>1</v>
      </c>
      <c r="J45" s="3">
        <f>5*H45</f>
        <v>841.75084175084169</v>
      </c>
      <c r="K45" s="3">
        <v>0</v>
      </c>
      <c r="L45" s="3">
        <v>0</v>
      </c>
      <c r="M45" s="15">
        <v>-1000</v>
      </c>
      <c r="N45" s="10">
        <f>H45*I45*L45+(J45)+(K45)</f>
        <v>841.75084175084169</v>
      </c>
      <c r="O45" s="3">
        <f>(DATE(2003,2,11)-E45)/365</f>
        <v>1.6904109589041096</v>
      </c>
      <c r="P45" s="12">
        <f t="shared" si="8"/>
        <v>-0.15824915824915831</v>
      </c>
      <c r="Q45" s="12">
        <f t="shared" si="7"/>
        <v>-9.6889941404567637E-2</v>
      </c>
      <c r="R45" s="9" t="s">
        <v>439</v>
      </c>
    </row>
    <row r="46" spans="1:19" x14ac:dyDescent="0.25">
      <c r="A46" s="23">
        <f>26684-1176</f>
        <v>25508</v>
      </c>
      <c r="B46" t="s">
        <v>61</v>
      </c>
      <c r="C46" t="s">
        <v>62</v>
      </c>
      <c r="D46" t="s">
        <v>10</v>
      </c>
      <c r="E46" s="2">
        <v>37152</v>
      </c>
      <c r="F46" s="13">
        <f t="shared" si="1"/>
        <v>37329.121232876714</v>
      </c>
      <c r="G46" s="3">
        <v>36</v>
      </c>
      <c r="H46" s="3">
        <f t="shared" si="2"/>
        <v>27.777777777777779</v>
      </c>
      <c r="I46" s="3">
        <v>1</v>
      </c>
      <c r="J46" s="3">
        <f>H46*(0.17+0.17)</f>
        <v>9.4444444444444446</v>
      </c>
      <c r="K46" s="3">
        <v>0</v>
      </c>
      <c r="L46" s="3">
        <v>49</v>
      </c>
      <c r="M46" s="15">
        <v>-1000</v>
      </c>
      <c r="N46" s="10">
        <f t="shared" ref="N46:N55" si="9">H46*I46*L46+(J46)+(K46)</f>
        <v>1370.5555555555554</v>
      </c>
      <c r="O46" s="3">
        <f>(DATE(2002,3,14)-E46)/365</f>
        <v>0.48493150684931507</v>
      </c>
      <c r="P46" s="12">
        <f t="shared" ref="P46:P51" si="10">(N46-1000)/1000</f>
        <v>0.37055555555555542</v>
      </c>
      <c r="Q46" s="12">
        <f t="shared" ref="Q46:Q51" si="11">(N46/1000)^(1/O46)-1</f>
        <v>0.91558306894555952</v>
      </c>
      <c r="R46" s="9" t="s">
        <v>260</v>
      </c>
      <c r="S46" s="3" t="s">
        <v>259</v>
      </c>
    </row>
    <row r="47" spans="1:19" x14ac:dyDescent="0.25">
      <c r="A47" s="23">
        <v>26508</v>
      </c>
      <c r="B47" t="s">
        <v>63</v>
      </c>
      <c r="C47" t="s">
        <v>64</v>
      </c>
      <c r="D47" t="s">
        <v>10</v>
      </c>
      <c r="E47" s="2">
        <v>37152</v>
      </c>
      <c r="F47" s="13">
        <f t="shared" si="1"/>
        <v>37329.121232876714</v>
      </c>
      <c r="G47" s="3">
        <v>18</v>
      </c>
      <c r="H47" s="3">
        <f t="shared" si="2"/>
        <v>55.555555555555557</v>
      </c>
      <c r="I47" s="3">
        <v>1</v>
      </c>
      <c r="J47" s="3">
        <v>0</v>
      </c>
      <c r="K47" s="3">
        <v>0</v>
      </c>
      <c r="L47" s="3">
        <v>27.5</v>
      </c>
      <c r="M47" s="15">
        <v>-1000</v>
      </c>
      <c r="N47" s="10">
        <f t="shared" si="9"/>
        <v>1527.7777777777778</v>
      </c>
      <c r="O47" s="3">
        <f>(DATE(2002,3,14)-E47)/365</f>
        <v>0.48493150684931507</v>
      </c>
      <c r="P47" s="12">
        <f t="shared" si="10"/>
        <v>0.52777777777777779</v>
      </c>
      <c r="Q47" s="12">
        <f t="shared" si="11"/>
        <v>1.3963990913459572</v>
      </c>
      <c r="R47" s="9" t="s">
        <v>260</v>
      </c>
      <c r="S47" s="3" t="s">
        <v>259</v>
      </c>
    </row>
    <row r="48" spans="1:19" x14ac:dyDescent="0.25">
      <c r="A48" s="23">
        <v>27508</v>
      </c>
      <c r="B48" t="s">
        <v>66</v>
      </c>
      <c r="C48" t="s">
        <v>65</v>
      </c>
      <c r="D48" t="s">
        <v>10</v>
      </c>
      <c r="E48" s="2">
        <v>37152</v>
      </c>
      <c r="F48" s="13">
        <f t="shared" si="1"/>
        <v>37329.121232876714</v>
      </c>
      <c r="G48" s="3">
        <v>18</v>
      </c>
      <c r="H48" s="3">
        <f t="shared" si="2"/>
        <v>55.555555555555557</v>
      </c>
      <c r="I48" s="3">
        <v>1</v>
      </c>
      <c r="J48" s="3">
        <v>0</v>
      </c>
      <c r="K48" s="3">
        <v>0</v>
      </c>
      <c r="L48" s="3">
        <v>16.5</v>
      </c>
      <c r="M48" s="15">
        <v>-1000</v>
      </c>
      <c r="N48" s="10">
        <f t="shared" si="9"/>
        <v>916.66666666666674</v>
      </c>
      <c r="O48" s="3">
        <f>(DATE(2002,3,14)-E48)/365</f>
        <v>0.48493150684931507</v>
      </c>
      <c r="P48" s="12">
        <f t="shared" si="10"/>
        <v>-8.3333333333333259E-2</v>
      </c>
      <c r="Q48" s="12">
        <f t="shared" si="11"/>
        <v>-0.1642537500042609</v>
      </c>
      <c r="R48" s="9" t="s">
        <v>260</v>
      </c>
      <c r="S48" s="3" t="s">
        <v>259</v>
      </c>
    </row>
    <row r="49" spans="1:19" x14ac:dyDescent="0.25">
      <c r="A49" s="23">
        <v>28508</v>
      </c>
      <c r="B49" t="s">
        <v>67</v>
      </c>
      <c r="C49" t="s">
        <v>68</v>
      </c>
      <c r="D49" t="s">
        <v>10</v>
      </c>
      <c r="E49" s="2">
        <v>37152</v>
      </c>
      <c r="F49" s="13">
        <f t="shared" ca="1" si="1"/>
        <v>41658.084246575345</v>
      </c>
      <c r="G49" s="3">
        <v>74</v>
      </c>
      <c r="H49" s="3">
        <f t="shared" si="2"/>
        <v>13.513513513513514</v>
      </c>
      <c r="I49" s="3">
        <v>4</v>
      </c>
      <c r="J49" s="3">
        <f>H49*I49*(0.05+0.066+0.068+0.081+0.087+0.105+0.134+0.169+0.159+0.255+0.145+0.14+0.165+0.197+0.124)</f>
        <v>105.13513513513516</v>
      </c>
      <c r="K49" s="3">
        <v>0</v>
      </c>
      <c r="L49" s="3">
        <f>'Data (ignore)'!B196</f>
        <v>39.93</v>
      </c>
      <c r="M49" s="15">
        <v>-1000</v>
      </c>
      <c r="N49" s="10">
        <f t="shared" si="9"/>
        <v>2263.5135135135133</v>
      </c>
      <c r="O49" s="3">
        <f ca="1">($AA$17-E49)/365</f>
        <v>12.336986301369864</v>
      </c>
      <c r="P49" s="12">
        <f t="shared" si="10"/>
        <v>1.2635135135135134</v>
      </c>
      <c r="Q49" s="12">
        <f t="shared" ca="1" si="11"/>
        <v>6.8458550646519178E-2</v>
      </c>
      <c r="R49" s="9" t="s">
        <v>260</v>
      </c>
    </row>
    <row r="50" spans="1:19" x14ac:dyDescent="0.25">
      <c r="A50" s="23">
        <v>29508</v>
      </c>
      <c r="B50" t="s">
        <v>55</v>
      </c>
      <c r="C50" t="s">
        <v>56</v>
      </c>
      <c r="D50" t="s">
        <v>10</v>
      </c>
      <c r="E50" s="2">
        <v>37152</v>
      </c>
      <c r="F50" s="13">
        <f t="shared" ca="1" si="1"/>
        <v>41658.084246575345</v>
      </c>
      <c r="G50" s="3">
        <v>12</v>
      </c>
      <c r="H50" s="3">
        <f t="shared" si="2"/>
        <v>83.333333333333329</v>
      </c>
      <c r="I50" s="3">
        <v>1</v>
      </c>
      <c r="J50" s="3">
        <v>0</v>
      </c>
      <c r="K50" s="3">
        <v>0</v>
      </c>
      <c r="L50" s="3">
        <f>'Data (ignore)'!B212</f>
        <v>25.88</v>
      </c>
      <c r="M50" s="15">
        <v>-1000</v>
      </c>
      <c r="N50" s="10">
        <f t="shared" si="9"/>
        <v>2156.6666666666665</v>
      </c>
      <c r="O50" s="3">
        <f ca="1">($AA$17-E50)/365</f>
        <v>12.336986301369864</v>
      </c>
      <c r="P50" s="12">
        <f t="shared" si="10"/>
        <v>1.1566666666666665</v>
      </c>
      <c r="Q50" s="12">
        <f t="shared" ca="1" si="11"/>
        <v>6.4278956478278637E-2</v>
      </c>
      <c r="R50" s="9" t="s">
        <v>260</v>
      </c>
    </row>
    <row r="51" spans="1:19" x14ac:dyDescent="0.25">
      <c r="A51" s="23">
        <v>30508</v>
      </c>
      <c r="B51" t="s">
        <v>49</v>
      </c>
      <c r="C51" t="s">
        <v>50</v>
      </c>
      <c r="D51" t="s">
        <v>10</v>
      </c>
      <c r="E51" s="2">
        <v>37154</v>
      </c>
      <c r="F51" s="13">
        <f t="shared" si="1"/>
        <v>39004.266438356164</v>
      </c>
      <c r="G51" s="3">
        <v>5.25</v>
      </c>
      <c r="H51" s="3">
        <f t="shared" si="2"/>
        <v>190.47619047619048</v>
      </c>
      <c r="I51" s="3">
        <v>1</v>
      </c>
      <c r="J51" s="3">
        <v>0</v>
      </c>
      <c r="K51" s="3">
        <v>0</v>
      </c>
      <c r="L51" s="3">
        <v>13.1</v>
      </c>
      <c r="M51" s="15">
        <v>-1000</v>
      </c>
      <c r="N51" s="10">
        <f t="shared" si="9"/>
        <v>2495.2380952380954</v>
      </c>
      <c r="O51" s="3">
        <f>(DATE(2006,10,13)-E51)/365</f>
        <v>5.065753424657534</v>
      </c>
      <c r="P51" s="12">
        <f t="shared" si="10"/>
        <v>1.4952380952380955</v>
      </c>
      <c r="Q51" s="12">
        <f t="shared" si="11"/>
        <v>0.19781982445818058</v>
      </c>
      <c r="R51" s="9" t="s">
        <v>396</v>
      </c>
      <c r="S51" t="s">
        <v>131</v>
      </c>
    </row>
    <row r="52" spans="1:19" x14ac:dyDescent="0.25">
      <c r="A52" s="23">
        <v>31508</v>
      </c>
      <c r="B52" t="s">
        <v>51</v>
      </c>
      <c r="C52" t="s">
        <v>52</v>
      </c>
      <c r="D52" t="s">
        <v>10</v>
      </c>
      <c r="E52" s="2">
        <v>37166</v>
      </c>
      <c r="F52" s="13">
        <f t="shared" si="1"/>
        <v>38632.003424657538</v>
      </c>
      <c r="G52" s="3">
        <v>0.38</v>
      </c>
      <c r="H52" s="3">
        <f t="shared" si="2"/>
        <v>2631.5789473684208</v>
      </c>
      <c r="I52" s="3">
        <v>0.1</v>
      </c>
      <c r="J52" s="3">
        <v>0</v>
      </c>
      <c r="K52" s="3">
        <v>0</v>
      </c>
      <c r="L52" s="3">
        <v>20</v>
      </c>
      <c r="M52" s="15">
        <v>-1000</v>
      </c>
      <c r="N52" s="10">
        <f t="shared" si="9"/>
        <v>5263.1578947368416</v>
      </c>
      <c r="O52" s="3">
        <f>(DATE(2005,10,6)-E52)/365</f>
        <v>4.0136986301369859</v>
      </c>
      <c r="P52" s="12">
        <f>(N52-1000)/1000</f>
        <v>4.2631578947368416</v>
      </c>
      <c r="Q52" s="12">
        <f>(N52/1000)^(1/O52)-1</f>
        <v>0.51250285051068545</v>
      </c>
      <c r="R52" s="9" t="s">
        <v>422</v>
      </c>
      <c r="S52" t="s">
        <v>247</v>
      </c>
    </row>
    <row r="53" spans="1:19" x14ac:dyDescent="0.25">
      <c r="A53" s="23">
        <f>32508-1900-2224</f>
        <v>28384</v>
      </c>
      <c r="B53" t="s">
        <v>69</v>
      </c>
      <c r="C53" t="s">
        <v>70</v>
      </c>
      <c r="D53" t="s">
        <v>10</v>
      </c>
      <c r="E53" s="2">
        <v>37368</v>
      </c>
      <c r="F53" s="13">
        <f t="shared" ca="1" si="1"/>
        <v>41657.93630136986</v>
      </c>
      <c r="G53" s="3">
        <v>14.05</v>
      </c>
      <c r="H53" s="3">
        <f t="shared" si="2"/>
        <v>71.17437722419929</v>
      </c>
      <c r="I53" s="3">
        <v>1</v>
      </c>
      <c r="J53" s="3">
        <v>0</v>
      </c>
      <c r="K53" s="3">
        <v>0</v>
      </c>
      <c r="L53" s="3">
        <f>'Data (ignore)'!B228</f>
        <v>47.63</v>
      </c>
      <c r="M53" s="15">
        <v>-1000</v>
      </c>
      <c r="N53" s="10">
        <f t="shared" si="9"/>
        <v>3390.0355871886122</v>
      </c>
      <c r="O53" s="3">
        <f ca="1">($AA$17-E53)/365</f>
        <v>11.745205479452055</v>
      </c>
      <c r="P53" s="12">
        <f t="shared" ref="P53:P59" si="12">(N53-1000)/1000</f>
        <v>2.3900355871886121</v>
      </c>
      <c r="Q53" s="12">
        <f t="shared" ref="Q53:Q59" ca="1" si="13">(N53/1000)^(1/O53)-1</f>
        <v>0.10953801490907544</v>
      </c>
      <c r="R53" s="9" t="s">
        <v>261</v>
      </c>
    </row>
    <row r="54" spans="1:19" x14ac:dyDescent="0.25">
      <c r="A54" s="23">
        <v>29384</v>
      </c>
      <c r="B54" t="s">
        <v>71</v>
      </c>
      <c r="C54" t="s">
        <v>72</v>
      </c>
      <c r="D54" t="s">
        <v>10</v>
      </c>
      <c r="E54" s="2">
        <v>37433</v>
      </c>
      <c r="F54" s="13">
        <f t="shared" si="1"/>
        <v>37561.087671232875</v>
      </c>
      <c r="G54" s="3">
        <v>4.0999999999999996</v>
      </c>
      <c r="H54" s="3">
        <f t="shared" si="2"/>
        <v>243.90243902439028</v>
      </c>
      <c r="I54" s="3">
        <v>1</v>
      </c>
      <c r="J54" s="3">
        <v>0</v>
      </c>
      <c r="K54" s="3">
        <v>0</v>
      </c>
      <c r="L54" s="3">
        <v>6.45</v>
      </c>
      <c r="M54" s="15">
        <v>-1000</v>
      </c>
      <c r="N54" s="10">
        <f t="shared" si="9"/>
        <v>1573.1707317073174</v>
      </c>
      <c r="O54" s="3">
        <f>(DATE(2002,11,1)-E54)/365</f>
        <v>0.35068493150684932</v>
      </c>
      <c r="P54" s="12">
        <f t="shared" si="12"/>
        <v>0.57317073170731736</v>
      </c>
      <c r="Q54" s="12">
        <f t="shared" si="13"/>
        <v>2.64014478073778</v>
      </c>
      <c r="R54" s="9" t="s">
        <v>262</v>
      </c>
      <c r="S54" t="s">
        <v>263</v>
      </c>
    </row>
    <row r="55" spans="1:19" x14ac:dyDescent="0.25">
      <c r="A55" s="23">
        <v>30384</v>
      </c>
      <c r="B55" t="s">
        <v>73</v>
      </c>
      <c r="C55" t="s">
        <v>74</v>
      </c>
      <c r="D55" t="s">
        <v>10</v>
      </c>
      <c r="E55" s="2">
        <v>37461</v>
      </c>
      <c r="F55" s="13">
        <f t="shared" ca="1" si="1"/>
        <v>41657.872602739728</v>
      </c>
      <c r="G55" s="3">
        <v>25.9</v>
      </c>
      <c r="H55" s="3">
        <f t="shared" si="2"/>
        <v>38.610038610038615</v>
      </c>
      <c r="I55" s="3">
        <v>0.1</v>
      </c>
      <c r="J55" s="3">
        <f>H55*(0.18+0.18+0.2+0.2+0.35+0.35+0.4+0.4+0.4+0.4+0.44+0.44+0.44+0.44+0.49+0.49+0.49+0.49+0.54+0.54+0.54+0.54+0.32+0.32+0.32+0.16+0.01*12)</f>
        <v>393.05019305019317</v>
      </c>
      <c r="K55" s="3">
        <f>2.5*88.67+(6.5*0.08*2)+(2.5*(0.22+0.22+0.22+0.22+0.23+0.23+0.23+0.23+0.26+0.26+0.26+0.26+0.29+0.29+0.29+0.29+0.3+0.3+0.3+0.3+0.3+0.3+0.33+0.36+0.36+0.36+0.36+0.41+0.41+0.41+0.41+0.46+0.46+0.46+0.46+0.5+0.5))</f>
        <v>252.84</v>
      </c>
      <c r="L55" s="3">
        <f>'Data (ignore)'!B244</f>
        <v>54.99</v>
      </c>
      <c r="M55" s="15">
        <v>-1000</v>
      </c>
      <c r="N55" s="10">
        <f t="shared" si="9"/>
        <v>858.20679536679552</v>
      </c>
      <c r="O55" s="3">
        <f ca="1">($AA$17-E55)/365</f>
        <v>11.490410958904109</v>
      </c>
      <c r="P55" s="12">
        <f t="shared" si="12"/>
        <v>-0.14179320463320449</v>
      </c>
      <c r="Q55" s="12">
        <f t="shared" ca="1" si="13"/>
        <v>-1.3219479324463657E-2</v>
      </c>
      <c r="R55" s="9" t="s">
        <v>264</v>
      </c>
      <c r="S55" t="s">
        <v>397</v>
      </c>
    </row>
    <row r="56" spans="1:19" x14ac:dyDescent="0.25">
      <c r="A56" s="23">
        <v>31384</v>
      </c>
      <c r="B56" t="s">
        <v>75</v>
      </c>
      <c r="C56" t="s">
        <v>420</v>
      </c>
      <c r="D56" t="s">
        <v>10</v>
      </c>
      <c r="E56" s="2">
        <v>37461</v>
      </c>
      <c r="F56" s="13">
        <f t="shared" ca="1" si="1"/>
        <v>41657.872602739728</v>
      </c>
      <c r="G56" s="3">
        <v>23.6</v>
      </c>
      <c r="H56" s="3">
        <f t="shared" si="2"/>
        <v>42.372881355932201</v>
      </c>
      <c r="I56" s="3">
        <v>1.81</v>
      </c>
      <c r="J56" s="3">
        <f>H56*I56*(0.335+0.345+0.345+0.363+0.363+0.373*4+0.395+0.4+0.41+0.42+0.43+0.438+0.445+0.453+0.46+0.468+0.475+0.483+0.49+0.5+0.508+0.515+0.523+0.53+0.538+0.545+0.553+0.56+0.568+0.575+0.583+0.59+0.598+0.605+0.613+0.62+0.628+0.635+0.65+0.66+0.67+0.68+0.69)</f>
        <v>1775.2572033898309</v>
      </c>
      <c r="K56" s="3">
        <v>0</v>
      </c>
      <c r="L56" s="3">
        <f>L64</f>
        <v>64.44</v>
      </c>
      <c r="M56" s="15">
        <v>-1000</v>
      </c>
      <c r="N56" s="10">
        <f>L56*I56*H56+J56</f>
        <v>6717.4775423728806</v>
      </c>
      <c r="O56" s="3">
        <f ca="1">($AA$17-E56)/365</f>
        <v>11.490410958904109</v>
      </c>
      <c r="P56" s="12">
        <f t="shared" si="12"/>
        <v>5.7174775423728805</v>
      </c>
      <c r="Q56" s="12">
        <f t="shared" ca="1" si="13"/>
        <v>0.18029618712387241</v>
      </c>
      <c r="R56" s="9" t="s">
        <v>264</v>
      </c>
    </row>
    <row r="57" spans="1:19" x14ac:dyDescent="0.25">
      <c r="A57" s="23">
        <v>32384</v>
      </c>
      <c r="B57" t="s">
        <v>76</v>
      </c>
      <c r="C57" t="s">
        <v>77</v>
      </c>
      <c r="D57" t="s">
        <v>10</v>
      </c>
      <c r="E57" s="2">
        <v>37461</v>
      </c>
      <c r="F57" s="13">
        <f t="shared" ca="1" si="1"/>
        <v>41657.872602739728</v>
      </c>
      <c r="G57" s="3">
        <v>43.2</v>
      </c>
      <c r="H57" s="3">
        <f t="shared" si="2"/>
        <v>23.148148148148145</v>
      </c>
      <c r="I57" s="3">
        <v>1</v>
      </c>
      <c r="J57" s="3">
        <f>H57*(0.205+0.205+0.205+0.24+0.24+0.24+0.24+0.285+0.285+0.285+0.285+0.33+0.33+0.33+0.33+0.375+0.375+0.375+0.375+0.415+0.415+0.415+0.415+0.46+0.46+0.46+0.46+0.49+0.49+0.49+0.49+0.54+0.54+0.54+0.54+0.57+0.57+0.57+0.57+0.61+0.61+0.61+0.61+0.66+0.66)</f>
        <v>444.32870370370364</v>
      </c>
      <c r="K57" s="3">
        <v>0</v>
      </c>
      <c r="L57" s="3">
        <f>'Data (ignore)'!B276</f>
        <v>94.8</v>
      </c>
      <c r="M57" s="15">
        <v>-1000</v>
      </c>
      <c r="N57" s="10">
        <f>H57*I57*L57+(J57)+(K57)</f>
        <v>2638.7731481481474</v>
      </c>
      <c r="O57" s="3">
        <f ca="1">($AA$17-E57)/365</f>
        <v>11.490410958904109</v>
      </c>
      <c r="P57" s="12">
        <f t="shared" si="12"/>
        <v>1.6387731481481473</v>
      </c>
      <c r="Q57" s="12">
        <f t="shared" ca="1" si="13"/>
        <v>8.8113596669214811E-2</v>
      </c>
      <c r="R57" s="9" t="s">
        <v>264</v>
      </c>
    </row>
    <row r="58" spans="1:19" x14ac:dyDescent="0.25">
      <c r="A58" s="23">
        <v>33384</v>
      </c>
      <c r="B58" t="s">
        <v>78</v>
      </c>
      <c r="C58" t="s">
        <v>79</v>
      </c>
      <c r="D58" t="s">
        <v>10</v>
      </c>
      <c r="E58" s="2">
        <v>37461</v>
      </c>
      <c r="F58" s="13">
        <f t="shared" ca="1" si="1"/>
        <v>41657.872602739728</v>
      </c>
      <c r="G58" s="3">
        <v>39.770000000000003</v>
      </c>
      <c r="H58" s="3">
        <f t="shared" si="2"/>
        <v>25.144581342720642</v>
      </c>
      <c r="I58" s="3">
        <v>1</v>
      </c>
      <c r="J58" s="3">
        <f>H58*(0.36+0.36+0.36+0.36+0.37+0.37+0.37+0.37+(29*0.38)+0.42+0.42+0.42+0.42+0.43*4)</f>
        <v>436.00704048277595</v>
      </c>
      <c r="K58" s="3">
        <f>3*(28.8+(0.81*65.34))</f>
        <v>245.17620000000002</v>
      </c>
      <c r="L58" s="3">
        <f>'Data (ignore)'!B292</f>
        <v>52.52</v>
      </c>
      <c r="M58" s="15">
        <v>-1000</v>
      </c>
      <c r="N58" s="10">
        <f>H58*I58*L58+(J58)+(K58)</f>
        <v>2001.7766526024641</v>
      </c>
      <c r="O58" s="3">
        <f ca="1">($AA$17-E58)/365</f>
        <v>11.490410958904109</v>
      </c>
      <c r="P58" s="12">
        <f t="shared" si="12"/>
        <v>1.0017766526024641</v>
      </c>
      <c r="Q58" s="12">
        <f t="shared" ca="1" si="13"/>
        <v>6.226268725667583E-2</v>
      </c>
      <c r="R58" s="9" t="s">
        <v>264</v>
      </c>
      <c r="S58" t="s">
        <v>265</v>
      </c>
    </row>
    <row r="59" spans="1:19" x14ac:dyDescent="0.25">
      <c r="A59" s="23">
        <v>34384</v>
      </c>
      <c r="B59" t="s">
        <v>49</v>
      </c>
      <c r="C59" t="s">
        <v>50</v>
      </c>
      <c r="D59" t="s">
        <v>10</v>
      </c>
      <c r="E59" s="2">
        <v>37461</v>
      </c>
      <c r="F59" s="13">
        <f t="shared" si="1"/>
        <v>39009.059589041099</v>
      </c>
      <c r="G59" s="3">
        <v>2.65</v>
      </c>
      <c r="H59" s="3">
        <f t="shared" si="2"/>
        <v>377.35849056603774</v>
      </c>
      <c r="I59" s="3">
        <v>1</v>
      </c>
      <c r="J59" s="3">
        <v>0</v>
      </c>
      <c r="K59" s="3">
        <v>0</v>
      </c>
      <c r="L59" s="3">
        <v>13.1</v>
      </c>
      <c r="M59" s="15">
        <v>-1000</v>
      </c>
      <c r="N59" s="10">
        <f>H59/2*10.64+H59/2*13.1</f>
        <v>4479.2452830188677</v>
      </c>
      <c r="O59" s="3">
        <f>(DATE(2006,10,18)-E59)/365</f>
        <v>4.2383561643835614</v>
      </c>
      <c r="P59" s="12">
        <f t="shared" si="12"/>
        <v>3.4792452830188676</v>
      </c>
      <c r="Q59" s="12">
        <f t="shared" si="13"/>
        <v>0.42444477429292138</v>
      </c>
      <c r="R59" s="9" t="s">
        <v>264</v>
      </c>
      <c r="S59" t="s">
        <v>132</v>
      </c>
    </row>
    <row r="60" spans="1:19" x14ac:dyDescent="0.25">
      <c r="A60" s="23">
        <v>35384</v>
      </c>
      <c r="B60" t="s">
        <v>27</v>
      </c>
      <c r="C60" t="s">
        <v>28</v>
      </c>
      <c r="D60" t="s">
        <v>10</v>
      </c>
      <c r="E60" s="2">
        <v>37461</v>
      </c>
      <c r="F60" s="13">
        <f t="shared" ca="1" si="1"/>
        <v>41657.872602739728</v>
      </c>
      <c r="G60" s="3">
        <v>2.75</v>
      </c>
      <c r="H60" s="3">
        <f t="shared" si="2"/>
        <v>363.63636363636363</v>
      </c>
      <c r="I60" s="3">
        <v>1</v>
      </c>
      <c r="J60" s="3">
        <v>0</v>
      </c>
      <c r="K60" s="3">
        <v>0</v>
      </c>
      <c r="L60" s="3">
        <f>'Data (ignore)'!B1172</f>
        <v>16.399999999999999</v>
      </c>
      <c r="M60" s="15">
        <v>-1000</v>
      </c>
      <c r="N60" s="10">
        <f t="shared" ref="N60:N72" si="14">H60*I60*L60+(J60)+(K60)</f>
        <v>5963.6363636363631</v>
      </c>
      <c r="O60" s="3">
        <f ca="1">($AA$17-E60)/365</f>
        <v>11.490410958904109</v>
      </c>
      <c r="P60" s="12">
        <f t="shared" ref="P60:P71" si="15">(N60-1000)/1000</f>
        <v>4.963636363636363</v>
      </c>
      <c r="Q60" s="12">
        <f t="shared" ref="Q60:Q71" ca="1" si="16">(N60/1000)^(1/O60)-1</f>
        <v>0.16813229094134852</v>
      </c>
      <c r="R60" s="9" t="s">
        <v>264</v>
      </c>
    </row>
    <row r="61" spans="1:19" x14ac:dyDescent="0.25">
      <c r="A61" s="23">
        <v>36384</v>
      </c>
      <c r="B61" t="s">
        <v>80</v>
      </c>
      <c r="C61" t="s">
        <v>81</v>
      </c>
      <c r="D61" t="s">
        <v>10</v>
      </c>
      <c r="E61" s="2">
        <v>37525</v>
      </c>
      <c r="F61" s="13">
        <f t="shared" ca="1" si="1"/>
        <v>41657.82876712329</v>
      </c>
      <c r="G61" s="3">
        <v>2.75</v>
      </c>
      <c r="H61" s="3">
        <f t="shared" si="2"/>
        <v>363.63636363636363</v>
      </c>
      <c r="I61" s="3">
        <f>1/7</f>
        <v>0.14285714285714285</v>
      </c>
      <c r="J61" s="3">
        <f>H61*I61*0.18</f>
        <v>9.3506493506493484</v>
      </c>
      <c r="K61" s="3">
        <v>0</v>
      </c>
      <c r="L61" s="3">
        <f>'Data (ignore)'!B308</f>
        <v>0.08</v>
      </c>
      <c r="M61" s="15">
        <v>-1000</v>
      </c>
      <c r="N61" s="10">
        <f t="shared" si="14"/>
        <v>13.506493506493504</v>
      </c>
      <c r="O61" s="3">
        <f ca="1">($AA$17-E61)/365</f>
        <v>11.315068493150685</v>
      </c>
      <c r="P61" s="12">
        <f t="shared" si="15"/>
        <v>-0.98649350649350653</v>
      </c>
      <c r="Q61" s="12">
        <f t="shared" ca="1" si="16"/>
        <v>-0.31643217728888595</v>
      </c>
      <c r="R61" s="9" t="s">
        <v>266</v>
      </c>
    </row>
    <row r="62" spans="1:19" x14ac:dyDescent="0.25">
      <c r="A62" s="23">
        <v>37384</v>
      </c>
      <c r="B62" t="s">
        <v>82</v>
      </c>
      <c r="C62" t="s">
        <v>83</v>
      </c>
      <c r="D62" t="s">
        <v>10</v>
      </c>
      <c r="E62" s="2">
        <v>37525</v>
      </c>
      <c r="F62" s="13">
        <f t="shared" ca="1" si="1"/>
        <v>41657.82876712329</v>
      </c>
      <c r="G62" s="3">
        <v>3</v>
      </c>
      <c r="H62" s="3">
        <f t="shared" si="2"/>
        <v>333.33333333333331</v>
      </c>
      <c r="I62" s="3">
        <v>1</v>
      </c>
      <c r="J62" s="3">
        <v>0</v>
      </c>
      <c r="K62" s="3">
        <v>0</v>
      </c>
      <c r="L62" s="3">
        <f>'Data (ignore)'!B324</f>
        <v>0.2</v>
      </c>
      <c r="M62" s="15">
        <v>-1000</v>
      </c>
      <c r="N62" s="10">
        <f t="shared" si="14"/>
        <v>66.666666666666671</v>
      </c>
      <c r="O62" s="3">
        <f ca="1">($AA$17-E62)/365</f>
        <v>11.315068493150685</v>
      </c>
      <c r="P62" s="12">
        <f t="shared" si="15"/>
        <v>-0.93333333333333335</v>
      </c>
      <c r="Q62" s="12">
        <f t="shared" ca="1" si="16"/>
        <v>-0.21284595533817141</v>
      </c>
      <c r="R62" s="9" t="s">
        <v>266</v>
      </c>
    </row>
    <row r="63" spans="1:19" x14ac:dyDescent="0.25">
      <c r="A63" s="23">
        <v>38384</v>
      </c>
      <c r="B63" t="s">
        <v>84</v>
      </c>
      <c r="C63" t="s">
        <v>85</v>
      </c>
      <c r="D63" t="s">
        <v>10</v>
      </c>
      <c r="E63" s="2">
        <v>37525</v>
      </c>
      <c r="F63" s="13">
        <f t="shared" si="1"/>
        <v>41125.464383561644</v>
      </c>
      <c r="G63" s="3">
        <v>12</v>
      </c>
      <c r="H63" s="3">
        <f t="shared" si="2"/>
        <v>83.333333333333329</v>
      </c>
      <c r="I63" s="3">
        <v>1</v>
      </c>
      <c r="J63" s="3">
        <v>0</v>
      </c>
      <c r="K63" s="3">
        <v>0</v>
      </c>
      <c r="L63" s="3">
        <v>14.25</v>
      </c>
      <c r="M63" s="15">
        <v>-1000</v>
      </c>
      <c r="N63" s="10">
        <f t="shared" si="14"/>
        <v>1187.5</v>
      </c>
      <c r="O63" s="3">
        <f>(DATE(2012,8,2)-E63)/365</f>
        <v>9.8575342465753426</v>
      </c>
      <c r="P63" s="12">
        <f t="shared" si="15"/>
        <v>0.1875</v>
      </c>
      <c r="Q63" s="12">
        <f t="shared" si="16"/>
        <v>1.758624032870526E-2</v>
      </c>
      <c r="R63" s="9" t="s">
        <v>266</v>
      </c>
      <c r="S63" t="s">
        <v>489</v>
      </c>
    </row>
    <row r="64" spans="1:19" x14ac:dyDescent="0.25">
      <c r="A64" s="23">
        <f>39384-1573</f>
        <v>37811</v>
      </c>
      <c r="B64" t="s">
        <v>98</v>
      </c>
      <c r="C64" t="s">
        <v>99</v>
      </c>
      <c r="D64" t="s">
        <v>10</v>
      </c>
      <c r="E64" s="2">
        <v>37585</v>
      </c>
      <c r="F64" s="13">
        <f t="shared" ca="1" si="1"/>
        <v>41657.78767123288</v>
      </c>
      <c r="G64" s="3">
        <v>17.75</v>
      </c>
      <c r="H64" s="3">
        <f t="shared" si="2"/>
        <v>56.338028169014088</v>
      </c>
      <c r="I64" s="3">
        <v>1</v>
      </c>
      <c r="J64" s="3">
        <f>H64*(0.345+0.363+0.363+0.373+0.373+0.373+0.373+0.395+0.4+0.41+0.42+0.43+0.438+0.445+0.453+0.46+0.468+0.475+0.483+0.49+0.5+0.508+0.515+0.523+0.53+0.538+0.545+0.553+0.56+0.568+0.575+0.583+0.59+0.598+0.605+0.613+0.62+0.628+0.635+0.65+0.66+0.67+0.68+0.69)</f>
        <v>1265.7464788732395</v>
      </c>
      <c r="K64" s="3">
        <v>0</v>
      </c>
      <c r="L64" s="3">
        <f>'Data (ignore)'!B260</f>
        <v>64.44</v>
      </c>
      <c r="M64" s="15">
        <v>-1000</v>
      </c>
      <c r="N64" s="10">
        <f t="shared" si="14"/>
        <v>4896.1690140845076</v>
      </c>
      <c r="O64" s="3">
        <f ca="1">($AA$17-E64)/365</f>
        <v>11.150684931506849</v>
      </c>
      <c r="P64" s="12">
        <f t="shared" si="15"/>
        <v>3.8961690140845078</v>
      </c>
      <c r="Q64" s="12">
        <f t="shared" ca="1" si="16"/>
        <v>0.15309935402882058</v>
      </c>
      <c r="R64" s="9" t="s">
        <v>267</v>
      </c>
    </row>
    <row r="65" spans="1:19" x14ac:dyDescent="0.25">
      <c r="A65" s="23">
        <v>38811</v>
      </c>
      <c r="B65" t="s">
        <v>100</v>
      </c>
      <c r="C65" t="s">
        <v>101</v>
      </c>
      <c r="D65" t="s">
        <v>10</v>
      </c>
      <c r="E65" s="2">
        <v>37585</v>
      </c>
      <c r="F65" s="13">
        <f t="shared" ca="1" si="1"/>
        <v>41657.78767123288</v>
      </c>
      <c r="G65" s="3">
        <v>20</v>
      </c>
      <c r="H65" s="3">
        <f t="shared" si="2"/>
        <v>50</v>
      </c>
      <c r="I65" s="3">
        <v>1</v>
      </c>
      <c r="J65" s="3">
        <f>H65*(0.5*43)</f>
        <v>1075</v>
      </c>
      <c r="K65" s="3">
        <v>0</v>
      </c>
      <c r="L65" s="3">
        <f>'Data (ignore)'!B340</f>
        <v>23.7</v>
      </c>
      <c r="M65" s="15">
        <v>-1000</v>
      </c>
      <c r="N65" s="10">
        <f t="shared" si="14"/>
        <v>2260</v>
      </c>
      <c r="O65" s="3">
        <f ca="1">($AA$17-E65)/365</f>
        <v>11.150684931506849</v>
      </c>
      <c r="P65" s="12">
        <f t="shared" si="15"/>
        <v>1.26</v>
      </c>
      <c r="Q65" s="12">
        <f t="shared" ca="1" si="16"/>
        <v>7.5862211443196825E-2</v>
      </c>
      <c r="R65" s="9" t="s">
        <v>267</v>
      </c>
    </row>
    <row r="66" spans="1:19" x14ac:dyDescent="0.25">
      <c r="A66" s="23">
        <v>39811</v>
      </c>
      <c r="B66" t="s">
        <v>86</v>
      </c>
      <c r="C66" t="s">
        <v>87</v>
      </c>
      <c r="D66" t="s">
        <v>10</v>
      </c>
      <c r="E66" s="2">
        <v>37592</v>
      </c>
      <c r="F66" s="13">
        <f t="shared" si="1"/>
        <v>38033.30205479452</v>
      </c>
      <c r="G66" s="3">
        <v>18.8</v>
      </c>
      <c r="H66" s="3">
        <f t="shared" si="2"/>
        <v>53.191489361702125</v>
      </c>
      <c r="I66" s="3">
        <v>1</v>
      </c>
      <c r="J66" s="3">
        <f>H66*(0.68+0.6+0.6+0.28+0.47)</f>
        <v>139.89361702127658</v>
      </c>
      <c r="K66" s="3">
        <v>0</v>
      </c>
      <c r="L66" s="3">
        <v>20.28</v>
      </c>
      <c r="M66" s="15">
        <v>-1000</v>
      </c>
      <c r="N66" s="10">
        <f t="shared" si="14"/>
        <v>1218.6170212765958</v>
      </c>
      <c r="O66" s="3">
        <f>(DATE(2004,2,16)-E66)/365</f>
        <v>1.2082191780821918</v>
      </c>
      <c r="P66" s="12">
        <f t="shared" si="15"/>
        <v>0.21861702127659577</v>
      </c>
      <c r="Q66" s="12">
        <f t="shared" si="16"/>
        <v>0.17779378293039771</v>
      </c>
      <c r="R66" s="9" t="s">
        <v>268</v>
      </c>
      <c r="S66" t="s">
        <v>273</v>
      </c>
    </row>
    <row r="67" spans="1:19" x14ac:dyDescent="0.25">
      <c r="A67" s="23">
        <v>40811</v>
      </c>
      <c r="B67" t="s">
        <v>88</v>
      </c>
      <c r="C67" t="s">
        <v>89</v>
      </c>
      <c r="D67" t="s">
        <v>10</v>
      </c>
      <c r="E67" s="2">
        <v>37655</v>
      </c>
      <c r="F67" s="13">
        <f t="shared" ca="1" si="1"/>
        <v>41657.739726027394</v>
      </c>
      <c r="G67" s="3">
        <v>13.8</v>
      </c>
      <c r="H67" s="3">
        <f t="shared" si="2"/>
        <v>72.463768115942031</v>
      </c>
      <c r="I67" s="3">
        <v>1</v>
      </c>
      <c r="J67" s="3">
        <f>H67*(0.3+0.3+0.3+0.33+0.33+0.33+0.33+0.33+0.36+0.36+0.36+0.36+0.39+0.39+0.39+0.39+0.42+0.42+0.42+0.42+(15*0.455))</f>
        <v>1018.4782608695652</v>
      </c>
      <c r="K67" s="3">
        <v>0</v>
      </c>
      <c r="L67" s="3">
        <f>'Data (ignore)'!B356</f>
        <v>40.51</v>
      </c>
      <c r="M67" s="15">
        <v>-1000</v>
      </c>
      <c r="N67" s="10">
        <f t="shared" si="14"/>
        <v>3953.985507246377</v>
      </c>
      <c r="O67" s="3">
        <f ca="1">($AA$17-E67)/365</f>
        <v>10.95890410958904</v>
      </c>
      <c r="P67" s="12">
        <f t="shared" si="15"/>
        <v>2.9539855072463768</v>
      </c>
      <c r="Q67" s="12">
        <f t="shared" ca="1" si="16"/>
        <v>0.13365119569519113</v>
      </c>
      <c r="R67" s="9" t="s">
        <v>269</v>
      </c>
    </row>
    <row r="68" spans="1:19" x14ac:dyDescent="0.25">
      <c r="A68" s="23">
        <f>41811-1111-842</f>
        <v>39858</v>
      </c>
      <c r="B68" t="s">
        <v>90</v>
      </c>
      <c r="C68" t="s">
        <v>91</v>
      </c>
      <c r="D68" t="s">
        <v>10</v>
      </c>
      <c r="E68" s="2">
        <v>37742</v>
      </c>
      <c r="F68" s="13">
        <f t="shared" ca="1" si="1"/>
        <v>41657.680136986302</v>
      </c>
      <c r="G68" s="3">
        <v>24.75</v>
      </c>
      <c r="H68" s="3">
        <f t="shared" si="2"/>
        <v>40.404040404040401</v>
      </c>
      <c r="I68" s="3">
        <v>1</v>
      </c>
      <c r="J68" s="3">
        <f>H68*(0.107+0.113+0.114+0.113+0.107+0.107+0.107+0.108+0.28)</f>
        <v>46.707070707070713</v>
      </c>
      <c r="K68" s="3">
        <v>0</v>
      </c>
      <c r="L68" s="3">
        <f>'Data (ignore)'!B372</f>
        <v>17.41</v>
      </c>
      <c r="M68" s="15">
        <v>-1000</v>
      </c>
      <c r="N68" s="10">
        <f t="shared" si="14"/>
        <v>750.14141414141409</v>
      </c>
      <c r="O68" s="3">
        <f ca="1">($AA$17-E68)/365</f>
        <v>10.72054794520548</v>
      </c>
      <c r="P68" s="12">
        <f t="shared" si="15"/>
        <v>-0.24985858585858592</v>
      </c>
      <c r="Q68" s="12">
        <f t="shared" ca="1" si="16"/>
        <v>-2.6460671899587673E-2</v>
      </c>
      <c r="R68" s="9" t="s">
        <v>270</v>
      </c>
    </row>
    <row r="69" spans="1:19" x14ac:dyDescent="0.25">
      <c r="A69" s="23">
        <v>40858</v>
      </c>
      <c r="B69" t="s">
        <v>92</v>
      </c>
      <c r="C69" t="s">
        <v>93</v>
      </c>
      <c r="D69" t="s">
        <v>10</v>
      </c>
      <c r="E69" s="2">
        <v>37847</v>
      </c>
      <c r="F69" s="13">
        <f t="shared" ca="1" si="1"/>
        <v>41657.608219178081</v>
      </c>
      <c r="G69" s="3">
        <v>26.9</v>
      </c>
      <c r="H69" s="3">
        <f t="shared" si="2"/>
        <v>37.174721189591082</v>
      </c>
      <c r="I69" s="3">
        <v>1</v>
      </c>
      <c r="J69" s="3">
        <f>H69*(0.35+0.35+0.35+0.35+0.36+0.36+0.38+0.38+0.38+0.38+0.4+0.4+0.4+0.4+0.42+(25*0.42)+3*0.44)</f>
        <v>649.8141263940521</v>
      </c>
      <c r="K69" s="3">
        <v>0</v>
      </c>
      <c r="L69" s="3">
        <f>L91</f>
        <v>44.29</v>
      </c>
      <c r="M69" s="15">
        <v>-1000</v>
      </c>
      <c r="N69" s="10">
        <f t="shared" si="14"/>
        <v>2296.282527881041</v>
      </c>
      <c r="O69" s="3">
        <f ca="1">($AA$17-E69)/365</f>
        <v>10.432876712328767</v>
      </c>
      <c r="P69" s="12">
        <f t="shared" si="15"/>
        <v>1.296282527881041</v>
      </c>
      <c r="Q69" s="12">
        <f t="shared" ca="1" si="16"/>
        <v>8.2940461583094427E-2</v>
      </c>
      <c r="R69" s="9" t="s">
        <v>271</v>
      </c>
    </row>
    <row r="70" spans="1:19" x14ac:dyDescent="0.25">
      <c r="A70" s="23">
        <v>41858</v>
      </c>
      <c r="B70" t="s">
        <v>400</v>
      </c>
      <c r="C70" t="s">
        <v>401</v>
      </c>
      <c r="D70" t="s">
        <v>10</v>
      </c>
      <c r="E70" s="2">
        <v>37950</v>
      </c>
      <c r="F70" s="13">
        <f t="shared" si="1"/>
        <v>39411</v>
      </c>
      <c r="G70" s="3">
        <v>4</v>
      </c>
      <c r="H70" s="3">
        <f t="shared" si="2"/>
        <v>250</v>
      </c>
      <c r="I70" s="3">
        <v>1</v>
      </c>
      <c r="J70" s="3">
        <v>0</v>
      </c>
      <c r="K70" s="3">
        <v>0</v>
      </c>
      <c r="L70" s="3">
        <v>16</v>
      </c>
      <c r="M70" s="15">
        <v>-1000</v>
      </c>
      <c r="N70" s="10">
        <f>125*8+125*16</f>
        <v>3000</v>
      </c>
      <c r="O70" s="3">
        <v>4</v>
      </c>
      <c r="P70" s="12">
        <f t="shared" si="15"/>
        <v>2</v>
      </c>
      <c r="Q70" s="12">
        <f t="shared" si="16"/>
        <v>0.3160740129524926</v>
      </c>
      <c r="R70" s="9" t="s">
        <v>423</v>
      </c>
    </row>
    <row r="71" spans="1:19" x14ac:dyDescent="0.25">
      <c r="A71" s="23">
        <v>42858</v>
      </c>
      <c r="B71" t="s">
        <v>94</v>
      </c>
      <c r="C71" t="s">
        <v>96</v>
      </c>
      <c r="D71" t="s">
        <v>10</v>
      </c>
      <c r="E71" s="2">
        <v>37978</v>
      </c>
      <c r="F71" s="13">
        <f t="shared" ca="1" si="1"/>
        <v>39204.506164383565</v>
      </c>
      <c r="G71" s="3">
        <v>0.35</v>
      </c>
      <c r="H71" s="3">
        <f t="shared" si="2"/>
        <v>2857.1428571428573</v>
      </c>
      <c r="I71" s="3">
        <v>1</v>
      </c>
      <c r="J71" s="3">
        <v>0</v>
      </c>
      <c r="K71" s="3">
        <v>0</v>
      </c>
      <c r="L71" s="3">
        <v>7.0000000000000007E-2</v>
      </c>
      <c r="M71" s="15">
        <v>-1000</v>
      </c>
      <c r="N71" s="10">
        <f>(952*0.65)+(952*0.98)+(938*L71)</f>
        <v>1617.4200000000003</v>
      </c>
      <c r="O71" s="3">
        <f ca="1">($AA$17-E71)/365/3</f>
        <v>3.3579908675799088</v>
      </c>
      <c r="P71" s="12">
        <f t="shared" si="15"/>
        <v>0.6174200000000003</v>
      </c>
      <c r="Q71" s="12">
        <f t="shared" ca="1" si="16"/>
        <v>0.15394957232286477</v>
      </c>
      <c r="R71" s="9" t="s">
        <v>272</v>
      </c>
      <c r="S71" t="s">
        <v>97</v>
      </c>
    </row>
    <row r="72" spans="1:19" x14ac:dyDescent="0.25">
      <c r="A72" s="23">
        <v>43858</v>
      </c>
      <c r="B72" t="s">
        <v>95</v>
      </c>
      <c r="C72" t="s">
        <v>95</v>
      </c>
      <c r="D72" t="s">
        <v>10</v>
      </c>
      <c r="E72" s="2">
        <v>37978</v>
      </c>
      <c r="F72" s="13">
        <f t="shared" ca="1" si="1"/>
        <v>40386.148287671233</v>
      </c>
      <c r="G72" s="3">
        <v>3.5</v>
      </c>
      <c r="H72" s="3">
        <f t="shared" si="2"/>
        <v>285.71428571428572</v>
      </c>
      <c r="I72" s="3">
        <v>1</v>
      </c>
      <c r="J72" s="3">
        <v>0</v>
      </c>
      <c r="K72" s="3">
        <f>H72*0.0856*(24.53+(0.415*8)+(11*0.208)+0.213+0.213+0.217*4)</f>
        <v>768.73691428571431</v>
      </c>
      <c r="L72" s="3">
        <v>1.8</v>
      </c>
      <c r="M72" s="15">
        <v>-1000</v>
      </c>
      <c r="N72" s="10">
        <f t="shared" si="14"/>
        <v>1283.0226285714286</v>
      </c>
      <c r="O72" s="3">
        <f ca="1">((DATE(2007,2,1)+$AA$17)/2-E72)/365</f>
        <v>6.5931506849315067</v>
      </c>
      <c r="P72" s="12">
        <f t="shared" ref="P72:P79" si="17">(N72-1000)/1000</f>
        <v>0.28302262857142862</v>
      </c>
      <c r="Q72" s="12">
        <f t="shared" ref="Q72:Q79" ca="1" si="18">(N72/1000)^(1/O72)-1</f>
        <v>3.852313359283599E-2</v>
      </c>
      <c r="R72" s="9" t="s">
        <v>272</v>
      </c>
      <c r="S72" t="s">
        <v>408</v>
      </c>
    </row>
    <row r="73" spans="1:19" x14ac:dyDescent="0.25">
      <c r="A73" s="23">
        <v>44858</v>
      </c>
      <c r="B73" t="s">
        <v>51</v>
      </c>
      <c r="C73" t="s">
        <v>52</v>
      </c>
      <c r="D73" t="s">
        <v>10</v>
      </c>
      <c r="E73" s="2">
        <v>37978</v>
      </c>
      <c r="F73" s="13">
        <f t="shared" si="1"/>
        <v>38631.44726027397</v>
      </c>
      <c r="G73" s="3">
        <v>10.15</v>
      </c>
      <c r="H73" s="3">
        <f t="shared" si="2"/>
        <v>98.522167487684726</v>
      </c>
      <c r="I73" s="3">
        <v>1</v>
      </c>
      <c r="J73" s="3">
        <v>0</v>
      </c>
      <c r="K73" s="3">
        <v>0</v>
      </c>
      <c r="L73" s="3">
        <v>20</v>
      </c>
      <c r="M73" s="15">
        <v>-1000</v>
      </c>
      <c r="N73" s="10">
        <f>H73*I73*L73+(J73)+(K73)</f>
        <v>1970.4433497536945</v>
      </c>
      <c r="O73" s="3">
        <f>(DATE(2005,10,6)-E73)/365</f>
        <v>1.789041095890411</v>
      </c>
      <c r="P73" s="12">
        <f t="shared" si="17"/>
        <v>0.97044334975369451</v>
      </c>
      <c r="Q73" s="12">
        <f t="shared" si="18"/>
        <v>0.46099614646944564</v>
      </c>
      <c r="R73" s="9" t="s">
        <v>272</v>
      </c>
      <c r="S73" t="s">
        <v>247</v>
      </c>
    </row>
    <row r="74" spans="1:19" x14ac:dyDescent="0.25">
      <c r="A74" s="23">
        <f>45858-1219-1617</f>
        <v>43022</v>
      </c>
      <c r="B74" t="s">
        <v>104</v>
      </c>
      <c r="C74" t="s">
        <v>105</v>
      </c>
      <c r="D74" t="s">
        <v>10</v>
      </c>
      <c r="E74" s="2">
        <v>38033</v>
      </c>
      <c r="F74" s="13">
        <f t="shared" ca="1" si="1"/>
        <v>40091.408904109587</v>
      </c>
      <c r="G74" s="3">
        <v>7.9</v>
      </c>
      <c r="H74" s="3">
        <f t="shared" si="2"/>
        <v>126.58227848101265</v>
      </c>
      <c r="I74" s="3">
        <v>1</v>
      </c>
      <c r="J74" s="3">
        <f>H74*1</f>
        <v>126.58227848101265</v>
      </c>
      <c r="K74" s="3">
        <v>0</v>
      </c>
      <c r="L74" s="3">
        <v>0</v>
      </c>
      <c r="M74" s="15">
        <v>-1000</v>
      </c>
      <c r="N74" s="10">
        <f>H74/2*14+H74/2*L74+J74</f>
        <v>1012.6582278481012</v>
      </c>
      <c r="O74" s="3">
        <f ca="1">((DATE(2005,6,22)+$AA$17)/2-E74)/365</f>
        <v>5.6356164383561644</v>
      </c>
      <c r="P74" s="12">
        <f t="shared" si="17"/>
        <v>1.2658227848101205E-2</v>
      </c>
      <c r="Q74" s="12">
        <f t="shared" ca="1" si="18"/>
        <v>2.2345081167363112E-3</v>
      </c>
      <c r="R74" s="9" t="s">
        <v>274</v>
      </c>
      <c r="S74" t="s">
        <v>116</v>
      </c>
    </row>
    <row r="75" spans="1:19" x14ac:dyDescent="0.25">
      <c r="A75" s="23">
        <v>44022</v>
      </c>
      <c r="B75" t="s">
        <v>106</v>
      </c>
      <c r="D75" t="s">
        <v>10</v>
      </c>
      <c r="E75" s="2">
        <v>38033</v>
      </c>
      <c r="F75" s="13">
        <f t="shared" si="1"/>
        <v>38755.494520547945</v>
      </c>
      <c r="G75" s="3">
        <v>4.5</v>
      </c>
      <c r="H75" s="3">
        <f t="shared" si="2"/>
        <v>222.22222222222223</v>
      </c>
      <c r="I75" s="3">
        <v>1</v>
      </c>
      <c r="J75" s="3">
        <v>0</v>
      </c>
      <c r="K75" s="3">
        <v>0</v>
      </c>
      <c r="L75" s="3">
        <v>11.11</v>
      </c>
      <c r="M75" s="15">
        <v>-1000</v>
      </c>
      <c r="N75" s="10">
        <f>H75*3/4*I75*L75+(J75)+(K75)</f>
        <v>1851.6666666666667</v>
      </c>
      <c r="O75" s="3">
        <f>(DATE(2006,2,7)-E75)/365</f>
        <v>1.978082191780822</v>
      </c>
      <c r="P75" s="12">
        <f t="shared" si="17"/>
        <v>0.85166666666666679</v>
      </c>
      <c r="Q75" s="12">
        <f t="shared" si="18"/>
        <v>0.36541209857762258</v>
      </c>
      <c r="R75" s="9" t="s">
        <v>274</v>
      </c>
      <c r="S75" t="s">
        <v>126</v>
      </c>
    </row>
    <row r="76" spans="1:19" x14ac:dyDescent="0.25">
      <c r="A76" s="23">
        <v>45022</v>
      </c>
      <c r="B76" t="s">
        <v>102</v>
      </c>
      <c r="C76" t="s">
        <v>103</v>
      </c>
      <c r="D76" t="s">
        <v>10</v>
      </c>
      <c r="E76" s="2">
        <v>38152</v>
      </c>
      <c r="F76" s="13">
        <f t="shared" si="1"/>
        <v>40722.759589041096</v>
      </c>
      <c r="G76" s="3">
        <v>55.91</v>
      </c>
      <c r="H76" s="3">
        <f t="shared" si="2"/>
        <v>17.885888034340905</v>
      </c>
      <c r="I76" s="3">
        <v>2</v>
      </c>
      <c r="J76" s="3">
        <f>H76*I76*(0.18+39*0.09+0.07+0.07)</f>
        <v>137.0059023430513</v>
      </c>
      <c r="K76" s="3">
        <v>0</v>
      </c>
      <c r="L76" s="3">
        <v>86.03</v>
      </c>
      <c r="M76" s="15">
        <v>-1000</v>
      </c>
      <c r="N76" s="10">
        <f>H76*I76*L76+(J76)+(K76)</f>
        <v>3214.4517975317476</v>
      </c>
      <c r="O76" s="3">
        <f>(DATE(2011,6,27)-E76)/365</f>
        <v>7.0383561643835613</v>
      </c>
      <c r="P76" s="12">
        <f t="shared" si="17"/>
        <v>2.2144517975317477</v>
      </c>
      <c r="Q76" s="12">
        <f t="shared" si="18"/>
        <v>0.18045396711189543</v>
      </c>
      <c r="R76" s="9" t="s">
        <v>275</v>
      </c>
      <c r="S76" t="s">
        <v>208</v>
      </c>
    </row>
    <row r="77" spans="1:19" x14ac:dyDescent="0.25">
      <c r="A77" s="23">
        <v>46022</v>
      </c>
      <c r="B77" t="s">
        <v>80</v>
      </c>
      <c r="C77" t="s">
        <v>81</v>
      </c>
      <c r="D77" t="s">
        <v>10</v>
      </c>
      <c r="E77" s="2">
        <v>38215</v>
      </c>
      <c r="F77" s="13">
        <f t="shared" ca="1" si="1"/>
        <v>41657.356164383564</v>
      </c>
      <c r="G77" s="3">
        <v>2.69</v>
      </c>
      <c r="H77" s="3">
        <f t="shared" si="2"/>
        <v>371.74721189591077</v>
      </c>
      <c r="I77" s="3">
        <v>1</v>
      </c>
      <c r="J77" s="3">
        <v>0</v>
      </c>
      <c r="K77" s="3">
        <v>0</v>
      </c>
      <c r="L77" s="3">
        <f>'Data (ignore)'!B308</f>
        <v>0.08</v>
      </c>
      <c r="M77" s="15">
        <v>-1000</v>
      </c>
      <c r="N77" s="10">
        <f>H77*I77*L77+(J77)+(K77)</f>
        <v>29.739776951672862</v>
      </c>
      <c r="O77" s="3">
        <f ca="1">($AA$17-E77)/365</f>
        <v>9.4246575342465757</v>
      </c>
      <c r="P77" s="12">
        <f t="shared" si="17"/>
        <v>-0.97026022304832715</v>
      </c>
      <c r="Q77" s="12">
        <f t="shared" ca="1" si="18"/>
        <v>-0.31132545626739105</v>
      </c>
      <c r="R77" s="9" t="s">
        <v>276</v>
      </c>
    </row>
    <row r="78" spans="1:19" x14ac:dyDescent="0.25">
      <c r="A78" s="23">
        <v>47022</v>
      </c>
      <c r="B78" t="s">
        <v>107</v>
      </c>
      <c r="C78" t="s">
        <v>108</v>
      </c>
      <c r="D78" t="s">
        <v>10</v>
      </c>
      <c r="E78" s="2">
        <v>38222</v>
      </c>
      <c r="F78" s="13">
        <f t="shared" si="1"/>
        <v>38275.036301369866</v>
      </c>
      <c r="G78" s="3">
        <v>16</v>
      </c>
      <c r="H78" s="3">
        <f t="shared" si="2"/>
        <v>62.5</v>
      </c>
      <c r="I78" s="3">
        <v>1</v>
      </c>
      <c r="J78" s="3">
        <v>0</v>
      </c>
      <c r="K78" s="3">
        <v>0</v>
      </c>
      <c r="L78" s="3">
        <v>16.739999999999998</v>
      </c>
      <c r="M78" s="15">
        <v>-1000</v>
      </c>
      <c r="N78" s="10">
        <f>H78*I78*L78+(J78)+(K78)</f>
        <v>1046.25</v>
      </c>
      <c r="O78" s="3">
        <f>(DATE(2004,10,15)-E78)/365</f>
        <v>0.14520547945205478</v>
      </c>
      <c r="P78" s="12">
        <f t="shared" si="17"/>
        <v>4.6249999999999999E-2</v>
      </c>
      <c r="Q78" s="12">
        <f t="shared" si="18"/>
        <v>0.36529158514907145</v>
      </c>
      <c r="R78" s="9" t="s">
        <v>278</v>
      </c>
      <c r="S78" t="s">
        <v>280</v>
      </c>
    </row>
    <row r="79" spans="1:19" x14ac:dyDescent="0.25">
      <c r="A79" s="23">
        <v>48022</v>
      </c>
      <c r="B79" t="s">
        <v>279</v>
      </c>
      <c r="C79" t="s">
        <v>109</v>
      </c>
      <c r="D79" t="s">
        <v>10</v>
      </c>
      <c r="E79" s="2">
        <v>38267</v>
      </c>
      <c r="F79" s="13">
        <f t="shared" si="1"/>
        <v>38720.310273972602</v>
      </c>
      <c r="G79" s="3">
        <v>20</v>
      </c>
      <c r="H79" s="3">
        <f t="shared" si="2"/>
        <v>50</v>
      </c>
      <c r="I79" s="3">
        <v>1</v>
      </c>
      <c r="J79" s="3">
        <v>0</v>
      </c>
      <c r="K79" s="3">
        <v>0</v>
      </c>
      <c r="L79" s="3">
        <v>14</v>
      </c>
      <c r="M79" s="15">
        <v>-1000</v>
      </c>
      <c r="N79" s="10">
        <f>H79*I79*L79+(J79)+(K79)</f>
        <v>700</v>
      </c>
      <c r="O79" s="3">
        <f>(DATE(2006,1,3)-E79)/365</f>
        <v>1.2410958904109588</v>
      </c>
      <c r="P79" s="12">
        <f t="shared" si="17"/>
        <v>-0.3</v>
      </c>
      <c r="Q79" s="12">
        <f t="shared" si="18"/>
        <v>-0.24977873511099591</v>
      </c>
      <c r="R79" s="9" t="s">
        <v>277</v>
      </c>
      <c r="S79" t="s">
        <v>123</v>
      </c>
    </row>
    <row r="80" spans="1:19" x14ac:dyDescent="0.25">
      <c r="A80" s="23">
        <f>49022-1015</f>
        <v>48007</v>
      </c>
      <c r="B80" t="s">
        <v>402</v>
      </c>
      <c r="C80" t="s">
        <v>403</v>
      </c>
      <c r="D80" t="s">
        <v>10</v>
      </c>
      <c r="E80" s="2">
        <v>38278</v>
      </c>
      <c r="F80" s="13">
        <f t="shared" si="1"/>
        <v>39008.5</v>
      </c>
      <c r="G80" s="3">
        <v>22.7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-1000</v>
      </c>
      <c r="N80" s="10">
        <v>0</v>
      </c>
      <c r="O80" s="3">
        <v>2</v>
      </c>
      <c r="P80" s="12">
        <v>-1</v>
      </c>
      <c r="Q80" s="12">
        <v>-1</v>
      </c>
      <c r="R80" s="9" t="s">
        <v>419</v>
      </c>
      <c r="S80" t="s">
        <v>418</v>
      </c>
    </row>
    <row r="81" spans="1:19" x14ac:dyDescent="0.25">
      <c r="A81" s="23">
        <v>49007</v>
      </c>
      <c r="B81" t="s">
        <v>111</v>
      </c>
      <c r="C81" t="s">
        <v>112</v>
      </c>
      <c r="D81" t="s">
        <v>10</v>
      </c>
      <c r="E81" s="2">
        <v>38334</v>
      </c>
      <c r="F81" s="13">
        <f t="shared" ca="1" si="1"/>
        <v>41657.274657534246</v>
      </c>
      <c r="G81" s="3">
        <v>22.48</v>
      </c>
      <c r="H81" s="3">
        <f t="shared" si="2"/>
        <v>44.483985765124551</v>
      </c>
      <c r="I81" s="3">
        <v>0.5</v>
      </c>
      <c r="J81" s="3">
        <f>31.13*H81*I81</f>
        <v>692.39323843416366</v>
      </c>
      <c r="K81" s="3">
        <v>0</v>
      </c>
      <c r="L81" s="3">
        <f>'Data (ignore)'!B420</f>
        <v>39.65</v>
      </c>
      <c r="M81" s="15">
        <v>-1000</v>
      </c>
      <c r="N81" s="10">
        <f>L81*H81*I81+J81</f>
        <v>1574.2882562277578</v>
      </c>
      <c r="O81" s="3">
        <f ca="1">($AA$17-E81)/365</f>
        <v>9.0986301369863014</v>
      </c>
      <c r="P81" s="12">
        <f>(N81-1000)/1000</f>
        <v>0.57428825622775781</v>
      </c>
      <c r="Q81" s="12">
        <f ca="1">(N81/1000)^(1/O81)-1</f>
        <v>5.1140745989267877E-2</v>
      </c>
      <c r="R81" s="9" t="s">
        <v>417</v>
      </c>
    </row>
    <row r="82" spans="1:19" x14ac:dyDescent="0.25">
      <c r="A82" s="23">
        <v>50007</v>
      </c>
      <c r="B82" t="s">
        <v>281</v>
      </c>
      <c r="C82" t="s">
        <v>113</v>
      </c>
      <c r="D82" t="s">
        <v>10</v>
      </c>
      <c r="E82" s="2">
        <v>38400</v>
      </c>
      <c r="F82" s="13">
        <f t="shared" ref="F82:F145" si="19">E82+(365.25*O82)</f>
        <v>38791.267808219178</v>
      </c>
      <c r="G82" s="3">
        <v>32.64</v>
      </c>
      <c r="H82" s="3">
        <f t="shared" si="2"/>
        <v>30.637254901960784</v>
      </c>
      <c r="I82" s="3">
        <v>1</v>
      </c>
      <c r="J82" s="3">
        <v>0</v>
      </c>
      <c r="K82" s="3">
        <v>0</v>
      </c>
      <c r="L82" s="3">
        <f>(29.38+35.47)/2</f>
        <v>32.424999999999997</v>
      </c>
      <c r="M82" s="15">
        <v>-1000</v>
      </c>
      <c r="N82" s="10">
        <f>H82*I82*L82+(J82)+(K82)</f>
        <v>993.41299019607834</v>
      </c>
      <c r="O82" s="3">
        <f>((DATE(2005,9,30)+DATE(2006,8,28))/2-E82)/365</f>
        <v>1.0712328767123287</v>
      </c>
      <c r="P82" s="12">
        <f>(N82-1000)/1000</f>
        <v>-6.5870098039216597E-3</v>
      </c>
      <c r="Q82" s="12">
        <f>(N82/1000)^(1/O82)-1</f>
        <v>-6.1503487502631016E-3</v>
      </c>
      <c r="R82" s="9" t="s">
        <v>282</v>
      </c>
      <c r="S82" t="s">
        <v>292</v>
      </c>
    </row>
    <row r="83" spans="1:19" x14ac:dyDescent="0.25">
      <c r="A83" s="23">
        <v>51007</v>
      </c>
      <c r="B83" t="s">
        <v>404</v>
      </c>
      <c r="C83" t="s">
        <v>405</v>
      </c>
      <c r="D83" t="s">
        <v>10</v>
      </c>
      <c r="E83" s="2">
        <v>38429</v>
      </c>
      <c r="F83" s="13">
        <f t="shared" si="19"/>
        <v>38545.079452054793</v>
      </c>
      <c r="G83" s="3">
        <v>11.8</v>
      </c>
      <c r="H83" s="3">
        <f t="shared" si="2"/>
        <v>84.745762711864401</v>
      </c>
      <c r="I83" s="3">
        <v>1</v>
      </c>
      <c r="J83" s="3">
        <v>0</v>
      </c>
      <c r="K83" s="3">
        <v>0</v>
      </c>
      <c r="L83" s="3">
        <v>27</v>
      </c>
      <c r="M83" s="15">
        <v>-1000</v>
      </c>
      <c r="N83" s="10">
        <f>H83*I83*L83+(J83)+(K83)</f>
        <v>2288.1355932203387</v>
      </c>
      <c r="O83" s="3">
        <f>(DATE(2005,7,12)-E83)/365</f>
        <v>0.31780821917808222</v>
      </c>
      <c r="P83" s="12">
        <f>(N83-1000)/1000</f>
        <v>1.2881355932203387</v>
      </c>
      <c r="Q83" s="12">
        <f>(N83/1000)^(1/O83)-1</f>
        <v>12.524709382989997</v>
      </c>
      <c r="R83" s="9" t="s">
        <v>283</v>
      </c>
    </row>
    <row r="84" spans="1:19" x14ac:dyDescent="0.25">
      <c r="A84" s="23">
        <v>52007</v>
      </c>
      <c r="B84" t="s">
        <v>114</v>
      </c>
      <c r="C84" t="s">
        <v>115</v>
      </c>
      <c r="D84" t="s">
        <v>10</v>
      </c>
      <c r="E84" s="2">
        <v>38429</v>
      </c>
      <c r="F84" s="13">
        <f t="shared" ca="1" si="19"/>
        <v>40427.868150684932</v>
      </c>
      <c r="G84" s="3">
        <v>52.4</v>
      </c>
      <c r="H84" s="3">
        <f t="shared" si="2"/>
        <v>19.083969465648856</v>
      </c>
      <c r="I84" s="3">
        <v>1</v>
      </c>
      <c r="J84" s="3">
        <f>H84*(0.48+0.9+3.06+0.2+0.23+0.23)</f>
        <v>97.32824427480918</v>
      </c>
      <c r="K84" s="3">
        <f>H84/5*(105.47+0.66+0.75+1.19+0.72+0.23+0.23+0.23+0.28+0.35+0.35+0.45+0.45+0.52*3)</f>
        <v>430.99236641221376</v>
      </c>
      <c r="L84" s="3">
        <f>'Data (ignore)'!B724</f>
        <v>88.25</v>
      </c>
      <c r="M84" s="15">
        <v>-1000</v>
      </c>
      <c r="N84" s="10">
        <f>(H84/2*I84*L84)+(H84/2*60.67)+(J84)+(K84)</f>
        <v>1949.3129770992368</v>
      </c>
      <c r="O84" s="3">
        <f ca="1">(($AA$17+DATE(2007,4,26))/2-E84)/365</f>
        <v>5.4726027397260273</v>
      </c>
      <c r="P84" s="12">
        <f t="shared" ref="P84:P89" si="20">(N84-1000)/1000</f>
        <v>0.94931297709923679</v>
      </c>
      <c r="Q84" s="12">
        <f t="shared" ref="Q84:Q89" ca="1" si="21">(N84/1000)^(1/O84)-1</f>
        <v>0.1297168313898891</v>
      </c>
      <c r="R84" s="9" t="s">
        <v>283</v>
      </c>
      <c r="S84" t="s">
        <v>133</v>
      </c>
    </row>
    <row r="85" spans="1:19" x14ac:dyDescent="0.25">
      <c r="A85" s="23">
        <f>53007-882</f>
        <v>52125</v>
      </c>
      <c r="B85" t="s">
        <v>251</v>
      </c>
      <c r="C85" t="s">
        <v>252</v>
      </c>
      <c r="D85" t="s">
        <v>26</v>
      </c>
      <c r="E85" s="2">
        <v>38539</v>
      </c>
      <c r="F85" s="13">
        <f t="shared" si="19"/>
        <v>39839.890410958906</v>
      </c>
      <c r="G85" s="3">
        <v>22</v>
      </c>
      <c r="H85" s="3">
        <f t="shared" si="2"/>
        <v>45.454545454545453</v>
      </c>
      <c r="I85" s="3">
        <v>1</v>
      </c>
      <c r="J85" s="3">
        <v>0</v>
      </c>
      <c r="K85" s="3">
        <v>0</v>
      </c>
      <c r="L85" s="3">
        <v>0.8</v>
      </c>
      <c r="M85" s="15">
        <v>-1000</v>
      </c>
      <c r="N85" s="10">
        <f>H85*G85-H85*L85+1000</f>
        <v>1963.6363636363635</v>
      </c>
      <c r="O85" s="3">
        <f>(DATE(2009,1,26)-E85)/365</f>
        <v>3.5616438356164384</v>
      </c>
      <c r="P85" s="12">
        <f t="shared" si="20"/>
        <v>0.96363636363636351</v>
      </c>
      <c r="Q85" s="12">
        <f t="shared" si="21"/>
        <v>0.20859983345639188</v>
      </c>
      <c r="R85" s="9" t="s">
        <v>399</v>
      </c>
    </row>
    <row r="86" spans="1:19" x14ac:dyDescent="0.25">
      <c r="A86" s="23">
        <v>53125</v>
      </c>
      <c r="B86" t="s">
        <v>251</v>
      </c>
      <c r="C86" t="s">
        <v>398</v>
      </c>
      <c r="D86" t="s">
        <v>10</v>
      </c>
      <c r="E86" s="2">
        <v>38539</v>
      </c>
      <c r="F86" s="13">
        <f t="shared" si="19"/>
        <v>38706.114383561646</v>
      </c>
      <c r="G86" s="3">
        <v>8</v>
      </c>
      <c r="H86" s="3">
        <f t="shared" si="2"/>
        <v>125</v>
      </c>
      <c r="I86" s="3">
        <v>1</v>
      </c>
      <c r="J86" s="3">
        <v>0</v>
      </c>
      <c r="K86" s="3">
        <v>0</v>
      </c>
      <c r="L86" s="3">
        <v>15</v>
      </c>
      <c r="M86" s="15">
        <v>-1000</v>
      </c>
      <c r="N86" s="10">
        <f>H86*L86-H86*G86+1000</f>
        <v>1875</v>
      </c>
      <c r="O86" s="3">
        <f>(DATE(2005,12,20)-E86)/365</f>
        <v>0.45753424657534247</v>
      </c>
      <c r="P86" s="12">
        <f t="shared" si="20"/>
        <v>0.875</v>
      </c>
      <c r="Q86" s="12">
        <f t="shared" si="21"/>
        <v>2.9507488918948552</v>
      </c>
      <c r="R86" s="9" t="s">
        <v>399</v>
      </c>
    </row>
    <row r="87" spans="1:19" x14ac:dyDescent="0.25">
      <c r="A87" s="23">
        <f>54125-2288</f>
        <v>51837</v>
      </c>
      <c r="B87" t="s">
        <v>117</v>
      </c>
      <c r="C87" t="s">
        <v>285</v>
      </c>
      <c r="D87" t="s">
        <v>10</v>
      </c>
      <c r="E87" s="2">
        <v>38625</v>
      </c>
      <c r="F87" s="13">
        <f t="shared" si="19"/>
        <v>39359.502739726027</v>
      </c>
      <c r="G87" s="3">
        <v>30.8</v>
      </c>
      <c r="H87" s="3">
        <f t="shared" si="2"/>
        <v>32.467532467532465</v>
      </c>
      <c r="I87" s="3">
        <v>1</v>
      </c>
      <c r="J87" s="3">
        <f>H87*2.5</f>
        <v>81.168831168831161</v>
      </c>
      <c r="K87" s="3">
        <v>0</v>
      </c>
      <c r="L87" s="3">
        <v>42</v>
      </c>
      <c r="M87" s="15">
        <v>-1000</v>
      </c>
      <c r="N87" s="10">
        <f>H87*I87*L87+(J87)+(K87)</f>
        <v>1444.8051948051948</v>
      </c>
      <c r="O87" s="3">
        <f>(DATE(2007,10,4)-E87)/365</f>
        <v>2.010958904109589</v>
      </c>
      <c r="P87" s="12">
        <f t="shared" si="20"/>
        <v>0.44480519480519481</v>
      </c>
      <c r="Q87" s="12">
        <f t="shared" si="21"/>
        <v>0.20079590881900722</v>
      </c>
      <c r="R87" s="9" t="s">
        <v>284</v>
      </c>
    </row>
    <row r="88" spans="1:19" x14ac:dyDescent="0.25">
      <c r="A88" s="23">
        <v>52837</v>
      </c>
      <c r="B88" t="s">
        <v>118</v>
      </c>
      <c r="C88" t="s">
        <v>119</v>
      </c>
      <c r="D88" t="s">
        <v>10</v>
      </c>
      <c r="E88" s="2">
        <v>38625</v>
      </c>
      <c r="F88" s="13">
        <f t="shared" ca="1" si="19"/>
        <v>41657.075342465752</v>
      </c>
      <c r="G88" s="3">
        <v>38.61</v>
      </c>
      <c r="H88" s="3">
        <f t="shared" ref="H88:H165" si="22">1000/G88</f>
        <v>25.900025900025902</v>
      </c>
      <c r="I88" s="3">
        <v>1</v>
      </c>
      <c r="J88" s="3">
        <f>H88*(0.37*8+0.41*18+0.43*4+0.45*3)</f>
        <v>347.31934731934734</v>
      </c>
      <c r="K88" s="3">
        <v>0</v>
      </c>
      <c r="L88" s="3">
        <f>'Data (ignore)'!B436</f>
        <v>63.73</v>
      </c>
      <c r="M88" s="15">
        <v>-1000</v>
      </c>
      <c r="N88" s="10">
        <f>H88*I88*L88+(J88)+(K88)</f>
        <v>1997.9279979279979</v>
      </c>
      <c r="O88" s="3">
        <f ca="1">($AA$17-E88)/365</f>
        <v>8.3013698630136989</v>
      </c>
      <c r="P88" s="12">
        <f t="shared" si="20"/>
        <v>0.99792799792799791</v>
      </c>
      <c r="Q88" s="12">
        <f t="shared" ca="1" si="21"/>
        <v>8.6947234014645547E-2</v>
      </c>
      <c r="R88" s="9" t="s">
        <v>284</v>
      </c>
    </row>
    <row r="89" spans="1:19" x14ac:dyDescent="0.25">
      <c r="A89" s="23">
        <v>53837</v>
      </c>
      <c r="B89" t="s">
        <v>120</v>
      </c>
      <c r="C89" t="s">
        <v>121</v>
      </c>
      <c r="D89" t="s">
        <v>10</v>
      </c>
      <c r="E89" s="2">
        <v>38625</v>
      </c>
      <c r="F89" s="13">
        <f t="shared" ca="1" si="19"/>
        <v>41657.075342465752</v>
      </c>
      <c r="G89" s="3">
        <v>33.65</v>
      </c>
      <c r="H89" s="3">
        <f t="shared" si="22"/>
        <v>29.717682020802378</v>
      </c>
      <c r="I89" s="3">
        <v>1</v>
      </c>
      <c r="J89" s="3">
        <f>H89*(1+1.12+1.86+0.5+0.12+0.14+0.14+0.15+0.15+0.17+0.17+0.17+0.17+0.19*4)</f>
        <v>196.73105497771175</v>
      </c>
      <c r="K89" s="3">
        <v>0</v>
      </c>
      <c r="L89" s="3">
        <f>'Data (ignore)'!B452</f>
        <v>27.34</v>
      </c>
      <c r="M89" s="15">
        <v>-1000</v>
      </c>
      <c r="N89" s="10">
        <f>H89*I89*L89+(J89)+(K89)</f>
        <v>1009.2124814264488</v>
      </c>
      <c r="O89" s="3">
        <f ca="1">($AA$17-E89)/365</f>
        <v>8.3013698630136989</v>
      </c>
      <c r="P89" s="12">
        <f t="shared" si="20"/>
        <v>9.2124814264487893E-3</v>
      </c>
      <c r="Q89" s="12">
        <f t="shared" ca="1" si="21"/>
        <v>1.1052841238512467E-3</v>
      </c>
      <c r="R89" s="9" t="s">
        <v>284</v>
      </c>
    </row>
    <row r="90" spans="1:19" x14ac:dyDescent="0.25">
      <c r="A90" s="23">
        <f>54837-1282-5263-1970</f>
        <v>46322</v>
      </c>
      <c r="B90" t="s">
        <v>122</v>
      </c>
      <c r="C90" t="s">
        <v>286</v>
      </c>
      <c r="D90" t="s">
        <v>10</v>
      </c>
      <c r="E90" s="2">
        <v>38685</v>
      </c>
      <c r="F90" s="13">
        <f t="shared" si="19"/>
        <v>39060.256849315068</v>
      </c>
      <c r="G90" s="3">
        <v>28</v>
      </c>
      <c r="H90" s="3">
        <f t="shared" si="22"/>
        <v>35.714285714285715</v>
      </c>
      <c r="I90" s="3">
        <v>1</v>
      </c>
      <c r="J90" s="3">
        <v>0</v>
      </c>
      <c r="K90" s="3">
        <v>0</v>
      </c>
      <c r="L90" s="3">
        <v>29.9</v>
      </c>
      <c r="M90" s="15">
        <v>-1000</v>
      </c>
      <c r="N90" s="10">
        <f>1000/G90*L90</f>
        <v>1067.8571428571429</v>
      </c>
      <c r="O90" s="3">
        <f>(DATE(2006,12,9)-E90)/365</f>
        <v>1.0273972602739727</v>
      </c>
      <c r="P90" s="12">
        <f>(N90-1000)/1000</f>
        <v>6.7857142857142894E-2</v>
      </c>
      <c r="Q90" s="12">
        <f>(N90/1000)^(1/O90)-1</f>
        <v>6.5989203541163333E-2</v>
      </c>
      <c r="R90" s="9" t="s">
        <v>287</v>
      </c>
    </row>
    <row r="91" spans="1:19" x14ac:dyDescent="0.25">
      <c r="A91" s="23">
        <f>47322-1875</f>
        <v>45447</v>
      </c>
      <c r="B91" t="s">
        <v>92</v>
      </c>
      <c r="C91" t="s">
        <v>93</v>
      </c>
      <c r="D91" t="s">
        <v>10</v>
      </c>
      <c r="E91" s="2">
        <v>38719</v>
      </c>
      <c r="F91" s="13">
        <f t="shared" si="19"/>
        <v>39979.863013698632</v>
      </c>
      <c r="G91" s="3">
        <v>36.840000000000003</v>
      </c>
      <c r="H91" s="3">
        <f t="shared" si="22"/>
        <v>27.144408251900106</v>
      </c>
      <c r="I91" s="3">
        <v>1</v>
      </c>
      <c r="J91" s="3">
        <f>H91*(1.6+4.2)</f>
        <v>157.43756786102063</v>
      </c>
      <c r="K91" s="3">
        <v>0</v>
      </c>
      <c r="L91" s="3">
        <f>'Data (ignore)'!B388</f>
        <v>44.29</v>
      </c>
      <c r="M91" s="15">
        <v>-1000</v>
      </c>
      <c r="N91" s="10">
        <f t="shared" ref="N91:N99" si="23">H91*I91*L91+(J91)+(K91)</f>
        <v>1359.6634093376763</v>
      </c>
      <c r="O91" s="3">
        <f>(DATE(2009,6,15)-E91)/365</f>
        <v>3.452054794520548</v>
      </c>
      <c r="P91" s="12">
        <f t="shared" ref="P91:P99" si="24">(N91-1000)/1000</f>
        <v>0.35966340933767627</v>
      </c>
      <c r="Q91" s="12">
        <f t="shared" ref="Q91:Q99" si="25">(N91/1000)^(1/O91)-1</f>
        <v>9.3082017675491402E-2</v>
      </c>
      <c r="R91" s="9" t="s">
        <v>288</v>
      </c>
      <c r="S91" t="s">
        <v>155</v>
      </c>
    </row>
    <row r="92" spans="1:19" x14ac:dyDescent="0.25">
      <c r="A92" s="23">
        <f>46447-700</f>
        <v>45747</v>
      </c>
      <c r="B92" t="s">
        <v>124</v>
      </c>
      <c r="C92" t="s">
        <v>125</v>
      </c>
      <c r="D92" t="s">
        <v>10</v>
      </c>
      <c r="E92" s="2">
        <v>38723</v>
      </c>
      <c r="F92" s="13">
        <f t="shared" ca="1" si="19"/>
        <v>41657.008219178082</v>
      </c>
      <c r="G92" s="3">
        <v>45.74</v>
      </c>
      <c r="H92" s="3">
        <f t="shared" si="22"/>
        <v>21.862702229995627</v>
      </c>
      <c r="I92" s="3">
        <v>1</v>
      </c>
      <c r="J92" s="3">
        <f>H92*(0.168*4+0.88+0.238*4+0.272*4+0.303*4+0.365*4+0.398*4+0.47*3)</f>
        <v>202.57979886313947</v>
      </c>
      <c r="K92" s="3">
        <v>0</v>
      </c>
      <c r="L92" s="3">
        <f>'Data (ignore)'!B468</f>
        <v>77.66</v>
      </c>
      <c r="M92" s="15">
        <v>-1000</v>
      </c>
      <c r="N92" s="10">
        <f t="shared" si="23"/>
        <v>1900.4372540445997</v>
      </c>
      <c r="O92" s="3">
        <f ca="1">($AA$17-E92)/365</f>
        <v>8.0328767123287665</v>
      </c>
      <c r="P92" s="12">
        <f t="shared" si="24"/>
        <v>0.90043725404459973</v>
      </c>
      <c r="Q92" s="12">
        <f t="shared" ca="1" si="25"/>
        <v>8.321341906934987E-2</v>
      </c>
      <c r="R92" s="9" t="s">
        <v>289</v>
      </c>
    </row>
    <row r="93" spans="1:19" x14ac:dyDescent="0.25">
      <c r="A93" s="23">
        <f>46747-1852</f>
        <v>44895</v>
      </c>
      <c r="B93" t="s">
        <v>127</v>
      </c>
      <c r="C93" t="s">
        <v>128</v>
      </c>
      <c r="D93" t="s">
        <v>10</v>
      </c>
      <c r="E93" s="2">
        <v>38779</v>
      </c>
      <c r="F93" s="13">
        <f t="shared" ca="1" si="19"/>
        <v>41656.969863013699</v>
      </c>
      <c r="G93" s="3">
        <f>(41.74+38)/2</f>
        <v>39.870000000000005</v>
      </c>
      <c r="H93" s="3">
        <f t="shared" si="22"/>
        <v>25.081514923501377</v>
      </c>
      <c r="I93" s="3">
        <v>0.15</v>
      </c>
      <c r="J93" s="3">
        <f>H93*I93*(0.08+0.08+0.1+0.08+0.15+0.25+0.275+0.12)</f>
        <v>4.2701279157261105</v>
      </c>
      <c r="K93" s="3">
        <v>0</v>
      </c>
      <c r="L93" s="3">
        <f>'Data (ignore)'!B484</f>
        <v>6.34</v>
      </c>
      <c r="M93" s="15">
        <v>-1000</v>
      </c>
      <c r="N93" s="10">
        <f t="shared" si="23"/>
        <v>28.122648607975918</v>
      </c>
      <c r="O93" s="3">
        <f ca="1">($AA$17-E93)/365</f>
        <v>7.8794520547945206</v>
      </c>
      <c r="P93" s="12">
        <f t="shared" si="24"/>
        <v>-0.97187735139202414</v>
      </c>
      <c r="Q93" s="12">
        <f t="shared" ca="1" si="25"/>
        <v>-0.36442612659944085</v>
      </c>
      <c r="R93" s="9" t="s">
        <v>290</v>
      </c>
      <c r="S93" t="s">
        <v>291</v>
      </c>
    </row>
    <row r="94" spans="1:19" x14ac:dyDescent="0.25">
      <c r="A94" s="23">
        <v>45895</v>
      </c>
      <c r="B94" t="s">
        <v>441</v>
      </c>
      <c r="C94" t="s">
        <v>440</v>
      </c>
      <c r="D94" t="s">
        <v>10</v>
      </c>
      <c r="E94" s="2">
        <v>38833</v>
      </c>
      <c r="F94" s="13">
        <f t="shared" si="19"/>
        <v>39086.173287671234</v>
      </c>
      <c r="G94" s="3">
        <v>0.7</v>
      </c>
      <c r="H94" s="3">
        <f t="shared" si="22"/>
        <v>1428.5714285714287</v>
      </c>
      <c r="I94" s="3">
        <v>1</v>
      </c>
      <c r="J94" s="3">
        <v>0</v>
      </c>
      <c r="K94" s="3">
        <v>0</v>
      </c>
      <c r="L94" s="3">
        <v>5</v>
      </c>
      <c r="M94" s="15">
        <v>-1000</v>
      </c>
      <c r="N94" s="10">
        <f t="shared" si="23"/>
        <v>7142.8571428571431</v>
      </c>
      <c r="O94" s="3">
        <f>(DATE(2007,1,4)-E94)/365</f>
        <v>0.69315068493150689</v>
      </c>
      <c r="P94" s="12">
        <f t="shared" si="24"/>
        <v>6.1428571428571432</v>
      </c>
      <c r="Q94" s="12">
        <f t="shared" si="25"/>
        <v>16.055742101495703</v>
      </c>
      <c r="R94" s="9" t="s">
        <v>443</v>
      </c>
    </row>
    <row r="95" spans="1:19" x14ac:dyDescent="0.25">
      <c r="A95" s="23">
        <v>46895</v>
      </c>
      <c r="B95" t="s">
        <v>106</v>
      </c>
      <c r="D95" t="s">
        <v>10</v>
      </c>
      <c r="E95" s="2">
        <v>38888</v>
      </c>
      <c r="F95" s="13">
        <f t="shared" si="19"/>
        <v>39506.423287671234</v>
      </c>
      <c r="G95" s="3">
        <v>9.0500000000000007</v>
      </c>
      <c r="H95" s="3">
        <f t="shared" si="22"/>
        <v>110.49723756906076</v>
      </c>
      <c r="I95" s="3">
        <v>1</v>
      </c>
      <c r="J95" s="3">
        <v>0</v>
      </c>
      <c r="K95" s="3">
        <v>0</v>
      </c>
      <c r="L95" s="3">
        <v>14.72</v>
      </c>
      <c r="M95" s="15">
        <v>-1000</v>
      </c>
      <c r="N95" s="10">
        <f t="shared" si="23"/>
        <v>1626.5193370165744</v>
      </c>
      <c r="O95" s="3">
        <f>(DATE(2008,2,28)-E95)/365</f>
        <v>1.6931506849315068</v>
      </c>
      <c r="P95" s="12">
        <f t="shared" si="24"/>
        <v>0.62651933701657436</v>
      </c>
      <c r="Q95" s="12">
        <f t="shared" si="25"/>
        <v>0.332824129652183</v>
      </c>
      <c r="R95" s="9" t="s">
        <v>430</v>
      </c>
    </row>
    <row r="96" spans="1:19" x14ac:dyDescent="0.25">
      <c r="A96" s="23">
        <v>47895</v>
      </c>
      <c r="B96" t="s">
        <v>441</v>
      </c>
      <c r="C96" t="s">
        <v>440</v>
      </c>
      <c r="D96" t="s">
        <v>10</v>
      </c>
      <c r="E96" s="2">
        <v>38933</v>
      </c>
      <c r="F96" s="13">
        <f t="shared" si="19"/>
        <v>39086.10479452055</v>
      </c>
      <c r="G96" s="3">
        <v>0.36</v>
      </c>
      <c r="H96" s="3">
        <f t="shared" si="22"/>
        <v>2777.7777777777778</v>
      </c>
      <c r="I96" s="3">
        <v>1</v>
      </c>
      <c r="J96" s="3">
        <v>0</v>
      </c>
      <c r="K96" s="3">
        <v>0</v>
      </c>
      <c r="L96" s="3">
        <v>5</v>
      </c>
      <c r="M96" s="15">
        <v>-1000</v>
      </c>
      <c r="N96" s="10">
        <f t="shared" si="23"/>
        <v>13888.888888888889</v>
      </c>
      <c r="O96" s="3">
        <f>(DATE(2007,1,4)-E96)/365</f>
        <v>0.41917808219178082</v>
      </c>
      <c r="P96" s="12">
        <f t="shared" si="24"/>
        <v>12.888888888888889</v>
      </c>
      <c r="Q96" s="12">
        <f t="shared" si="25"/>
        <v>531.07333592845271</v>
      </c>
      <c r="R96" s="9" t="s">
        <v>442</v>
      </c>
    </row>
    <row r="97" spans="1:19" x14ac:dyDescent="0.25">
      <c r="A97" s="23">
        <f>48895-993</f>
        <v>47902</v>
      </c>
      <c r="B97" t="s">
        <v>129</v>
      </c>
      <c r="C97" t="s">
        <v>130</v>
      </c>
      <c r="D97" t="s">
        <v>10</v>
      </c>
      <c r="E97" s="2">
        <v>38957</v>
      </c>
      <c r="F97" s="13">
        <f t="shared" ca="1" si="19"/>
        <v>41656.847945205482</v>
      </c>
      <c r="G97" s="3">
        <v>34.950000000000003</v>
      </c>
      <c r="H97" s="3">
        <f t="shared" si="22"/>
        <v>28.612303290414875</v>
      </c>
      <c r="I97" s="3">
        <v>1</v>
      </c>
      <c r="J97" s="3">
        <f>H97*(0.405+0.405+0.405+1.313+0.43+0.43+0.43+0.43+0.17+0.46+0.46+0.46+0.46+0.475+0.475+0.475+0.475+0.488+0.488+0.487+0.487+0.5+0.5+0.5+0.5+0.515*4+0.53)</f>
        <v>420.5436337625178</v>
      </c>
      <c r="K97" s="3">
        <v>0</v>
      </c>
      <c r="L97" s="3">
        <f>'Data (ignore)'!B500</f>
        <v>48.27</v>
      </c>
      <c r="M97" s="15">
        <v>-1000</v>
      </c>
      <c r="N97" s="10">
        <f t="shared" si="23"/>
        <v>1801.659513590844</v>
      </c>
      <c r="O97" s="3">
        <f ca="1">($AA$17-E97)/365</f>
        <v>7.3917808219178083</v>
      </c>
      <c r="P97" s="12">
        <f t="shared" si="24"/>
        <v>0.80165951359084398</v>
      </c>
      <c r="Q97" s="12">
        <f t="shared" ca="1" si="25"/>
        <v>8.2901075970012172E-2</v>
      </c>
      <c r="R97" s="9" t="s">
        <v>293</v>
      </c>
    </row>
    <row r="98" spans="1:19" x14ac:dyDescent="0.25">
      <c r="A98" s="23">
        <f>48902-2015-2495-4479-2646-1168</f>
        <v>36099</v>
      </c>
      <c r="B98" t="s">
        <v>106</v>
      </c>
      <c r="D98" t="s">
        <v>10</v>
      </c>
      <c r="E98" s="2">
        <v>39156</v>
      </c>
      <c r="F98" s="13">
        <f t="shared" ca="1" si="19"/>
        <v>41656.711643835617</v>
      </c>
      <c r="G98" s="3">
        <v>8.98</v>
      </c>
      <c r="H98" s="3">
        <f t="shared" si="22"/>
        <v>111.35857461024499</v>
      </c>
      <c r="I98" s="3">
        <v>1</v>
      </c>
      <c r="J98" s="3">
        <v>0</v>
      </c>
      <c r="K98" s="3">
        <v>0</v>
      </c>
      <c r="L98" s="3">
        <v>0</v>
      </c>
      <c r="M98" s="15">
        <v>-1000</v>
      </c>
      <c r="N98" s="10">
        <f t="shared" si="23"/>
        <v>0</v>
      </c>
      <c r="O98" s="3">
        <f ca="1">($AA$17-E98)/365</f>
        <v>6.8465753424657532</v>
      </c>
      <c r="P98" s="12">
        <f t="shared" si="24"/>
        <v>-1</v>
      </c>
      <c r="Q98" s="12">
        <f t="shared" ca="1" si="25"/>
        <v>-1</v>
      </c>
      <c r="R98" s="9" t="s">
        <v>432</v>
      </c>
      <c r="S98" t="s">
        <v>431</v>
      </c>
    </row>
    <row r="99" spans="1:19" x14ac:dyDescent="0.25">
      <c r="A99" s="23">
        <f>37099-7143-13889-513-546</f>
        <v>15008</v>
      </c>
      <c r="B99" t="s">
        <v>451</v>
      </c>
      <c r="C99" t="s">
        <v>452</v>
      </c>
      <c r="D99" t="s">
        <v>10</v>
      </c>
      <c r="E99" s="2">
        <v>39248</v>
      </c>
      <c r="F99" s="13">
        <f t="shared" si="19"/>
        <v>40226.669863013696</v>
      </c>
      <c r="G99" s="3">
        <v>0.36</v>
      </c>
      <c r="H99" s="3">
        <f t="shared" si="22"/>
        <v>2777.7777777777778</v>
      </c>
      <c r="I99" s="3">
        <v>1</v>
      </c>
      <c r="J99" s="3">
        <v>0</v>
      </c>
      <c r="K99" s="3">
        <v>0</v>
      </c>
      <c r="L99" s="3">
        <v>0.09</v>
      </c>
      <c r="M99" s="15">
        <v>-1000</v>
      </c>
      <c r="N99" s="10">
        <f t="shared" si="23"/>
        <v>250</v>
      </c>
      <c r="O99" s="3">
        <f>(DATE(2010,2,17)-E99)/365</f>
        <v>2.6794520547945204</v>
      </c>
      <c r="P99" s="12">
        <f t="shared" si="24"/>
        <v>-0.75</v>
      </c>
      <c r="Q99" s="12">
        <f t="shared" si="25"/>
        <v>-0.40391964510209155</v>
      </c>
      <c r="R99" s="9" t="s">
        <v>453</v>
      </c>
      <c r="S99" t="s">
        <v>505</v>
      </c>
    </row>
    <row r="100" spans="1:19" x14ac:dyDescent="0.25">
      <c r="A100" s="23">
        <v>16008</v>
      </c>
      <c r="B100" t="s">
        <v>447</v>
      </c>
      <c r="C100" t="s">
        <v>444</v>
      </c>
      <c r="D100" t="s">
        <v>10</v>
      </c>
      <c r="E100" s="2">
        <v>39288</v>
      </c>
      <c r="F100" s="13">
        <f t="shared" ca="1" si="19"/>
        <v>41656.621232876714</v>
      </c>
      <c r="G100" s="3">
        <v>1.47</v>
      </c>
      <c r="H100" s="3">
        <f t="shared" si="22"/>
        <v>680.27210884353747</v>
      </c>
      <c r="I100" s="3">
        <v>1</v>
      </c>
      <c r="J100" s="3">
        <v>0</v>
      </c>
      <c r="K100" s="3">
        <v>0</v>
      </c>
      <c r="L100" s="3">
        <v>0</v>
      </c>
      <c r="M100" s="15">
        <v>-1000</v>
      </c>
      <c r="N100" s="10">
        <v>0</v>
      </c>
      <c r="O100" s="3">
        <f t="shared" ref="O100:O106" ca="1" si="26">($AA$17-E100)/365</f>
        <v>6.484931506849315</v>
      </c>
      <c r="P100" s="12">
        <f>(N100-1000)/1000</f>
        <v>-1</v>
      </c>
      <c r="Q100" s="12">
        <f ca="1">(N100/1000)^(1/O100)-1</f>
        <v>-1</v>
      </c>
      <c r="R100" s="9" t="s">
        <v>445</v>
      </c>
      <c r="S100" t="s">
        <v>446</v>
      </c>
    </row>
    <row r="101" spans="1:19" x14ac:dyDescent="0.25">
      <c r="A101" s="23">
        <f>17008-1445</f>
        <v>15563</v>
      </c>
      <c r="B101" t="s">
        <v>294</v>
      </c>
      <c r="C101" t="s">
        <v>428</v>
      </c>
      <c r="D101" t="s">
        <v>10</v>
      </c>
      <c r="E101" s="2">
        <v>39367</v>
      </c>
      <c r="F101" s="13">
        <f t="shared" ca="1" si="19"/>
        <v>41656.56712328767</v>
      </c>
      <c r="G101" s="3">
        <v>8.1999999999999993</v>
      </c>
      <c r="H101" s="3">
        <f t="shared" si="22"/>
        <v>121.95121951219514</v>
      </c>
      <c r="I101" s="3">
        <v>1</v>
      </c>
      <c r="J101" s="3">
        <v>0</v>
      </c>
      <c r="K101" s="3">
        <v>0</v>
      </c>
      <c r="L101" s="3">
        <v>0</v>
      </c>
      <c r="M101" s="15">
        <v>-1000</v>
      </c>
      <c r="N101" s="10">
        <v>0</v>
      </c>
      <c r="O101" s="3">
        <f t="shared" ca="1" si="26"/>
        <v>6.2684931506849315</v>
      </c>
      <c r="P101" s="12">
        <f>(N101-1000)/1000</f>
        <v>-1</v>
      </c>
      <c r="Q101" s="12">
        <f ca="1">(N101/1000)^(1/O101)-1</f>
        <v>-1</v>
      </c>
      <c r="R101" s="9" t="s">
        <v>429</v>
      </c>
    </row>
    <row r="102" spans="1:19" x14ac:dyDescent="0.25">
      <c r="A102" s="23">
        <v>16563</v>
      </c>
      <c r="B102" t="s">
        <v>294</v>
      </c>
      <c r="C102" t="s">
        <v>134</v>
      </c>
      <c r="D102" t="s">
        <v>10</v>
      </c>
      <c r="E102" s="2">
        <v>39374</v>
      </c>
      <c r="F102" s="13">
        <f t="shared" ca="1" si="19"/>
        <v>41656.562328767126</v>
      </c>
      <c r="G102" s="3">
        <v>30</v>
      </c>
      <c r="H102" s="3">
        <f t="shared" si="22"/>
        <v>33.333333333333336</v>
      </c>
      <c r="I102" s="3">
        <v>1</v>
      </c>
      <c r="J102" s="3">
        <v>0</v>
      </c>
      <c r="K102" s="3">
        <v>0</v>
      </c>
      <c r="L102" s="3">
        <v>0</v>
      </c>
      <c r="M102" s="15">
        <v>-1000</v>
      </c>
      <c r="N102" s="10">
        <f>1000/G102*L102</f>
        <v>0</v>
      </c>
      <c r="O102" s="3">
        <f t="shared" ca="1" si="26"/>
        <v>6.2493150684931509</v>
      </c>
      <c r="P102" s="12">
        <f>(N102-1000)/1000</f>
        <v>-1</v>
      </c>
      <c r="Q102" s="12">
        <f ca="1">(N102/1000)^(1/O102)-1</f>
        <v>-1</v>
      </c>
      <c r="R102" s="9" t="s">
        <v>427</v>
      </c>
    </row>
    <row r="103" spans="1:19" x14ac:dyDescent="0.25">
      <c r="A103" s="23">
        <v>17563</v>
      </c>
      <c r="B103" t="s">
        <v>135</v>
      </c>
      <c r="C103" t="s">
        <v>253</v>
      </c>
      <c r="D103" t="s">
        <v>10</v>
      </c>
      <c r="E103" s="2">
        <v>39394</v>
      </c>
      <c r="F103" s="13">
        <f t="shared" ca="1" si="19"/>
        <v>41656.548630136989</v>
      </c>
      <c r="G103" s="3">
        <v>24.1</v>
      </c>
      <c r="H103" s="3">
        <f t="shared" si="22"/>
        <v>41.493775933609953</v>
      </c>
      <c r="I103" s="3">
        <v>1</v>
      </c>
      <c r="J103" s="3">
        <f>H103*(2.7+0.1+0.1+0.1+0.32+0.2+0.1+0.1+0.22+0.1+0.1+0.1+0.42+0.3+0.23+0.23)</f>
        <v>224.89626556016597</v>
      </c>
      <c r="K103" s="3">
        <v>0</v>
      </c>
      <c r="L103" s="3">
        <f>'Data (ignore)'!B516</f>
        <v>32.35</v>
      </c>
      <c r="M103" s="15">
        <v>-1000</v>
      </c>
      <c r="N103" s="10">
        <f>H103*I103*L103+(J103)+(K103)</f>
        <v>1567.2199170124481</v>
      </c>
      <c r="O103" s="3">
        <f t="shared" ca="1" si="26"/>
        <v>6.1945205479452055</v>
      </c>
      <c r="P103" s="12">
        <f t="shared" ref="P103:P118" si="27">(N103-1000)/1000</f>
        <v>0.56721991701244812</v>
      </c>
      <c r="Q103" s="12">
        <f t="shared" ref="Q103:Q118" ca="1" si="28">(N103/1000)^(1/O103)-1</f>
        <v>7.5227617565396532E-2</v>
      </c>
      <c r="R103" s="9" t="s">
        <v>295</v>
      </c>
    </row>
    <row r="104" spans="1:19" x14ac:dyDescent="0.25">
      <c r="A104" s="23">
        <v>18563</v>
      </c>
      <c r="B104" t="s">
        <v>448</v>
      </c>
      <c r="C104" t="s">
        <v>449</v>
      </c>
      <c r="D104" t="s">
        <v>10</v>
      </c>
      <c r="E104" s="2">
        <v>39409</v>
      </c>
      <c r="F104" s="13">
        <f t="shared" ca="1" si="19"/>
        <v>41656.538356164383</v>
      </c>
      <c r="G104" s="3">
        <v>0.92</v>
      </c>
      <c r="H104" s="3">
        <f t="shared" si="22"/>
        <v>1086.9565217391305</v>
      </c>
      <c r="I104" s="3">
        <v>1</v>
      </c>
      <c r="J104" s="3">
        <v>0</v>
      </c>
      <c r="K104" s="3">
        <v>0</v>
      </c>
      <c r="L104" s="3">
        <f>'Data (ignore)'!B532</f>
        <v>2.75</v>
      </c>
      <c r="M104" s="15">
        <v>-1000</v>
      </c>
      <c r="N104" s="10">
        <f>H104*I104*L104+(J104)+(K104)</f>
        <v>2989.130434782609</v>
      </c>
      <c r="O104" s="3">
        <f t="shared" ca="1" si="26"/>
        <v>6.1534246575342468</v>
      </c>
      <c r="P104" s="12">
        <f>(N104-1000)/1000</f>
        <v>1.9891304347826089</v>
      </c>
      <c r="Q104" s="12">
        <f ca="1">(N104/1000)^(1/O104)-1</f>
        <v>0.19476181525715286</v>
      </c>
      <c r="R104" s="9" t="s">
        <v>450</v>
      </c>
    </row>
    <row r="105" spans="1:19" x14ac:dyDescent="0.25">
      <c r="A105" s="23">
        <f>19563-3000</f>
        <v>16563</v>
      </c>
      <c r="B105" t="s">
        <v>294</v>
      </c>
      <c r="C105" t="s">
        <v>134</v>
      </c>
      <c r="D105" t="s">
        <v>10</v>
      </c>
      <c r="E105" s="2">
        <v>39412</v>
      </c>
      <c r="F105" s="13">
        <f t="shared" ca="1" si="19"/>
        <v>41656.536301369866</v>
      </c>
      <c r="G105" s="3">
        <v>16</v>
      </c>
      <c r="H105" s="3">
        <f t="shared" si="22"/>
        <v>62.5</v>
      </c>
      <c r="I105" s="3">
        <v>1</v>
      </c>
      <c r="J105" s="3">
        <v>0</v>
      </c>
      <c r="K105" s="3">
        <v>0</v>
      </c>
      <c r="L105" s="3">
        <v>0</v>
      </c>
      <c r="M105" s="15">
        <v>-1000</v>
      </c>
      <c r="N105" s="10">
        <f>H105*I105*L105+(J105)+(K105)</f>
        <v>0</v>
      </c>
      <c r="O105" s="3">
        <f t="shared" ca="1" si="26"/>
        <v>6.1452054794520548</v>
      </c>
      <c r="P105" s="12">
        <f t="shared" si="27"/>
        <v>-1</v>
      </c>
      <c r="Q105" s="12">
        <f t="shared" ca="1" si="28"/>
        <v>-1</v>
      </c>
      <c r="R105" s="9" t="s">
        <v>426</v>
      </c>
    </row>
    <row r="106" spans="1:19" x14ac:dyDescent="0.25">
      <c r="A106" s="23">
        <v>17653</v>
      </c>
      <c r="B106" t="s">
        <v>136</v>
      </c>
      <c r="C106" t="s">
        <v>137</v>
      </c>
      <c r="D106" t="s">
        <v>10</v>
      </c>
      <c r="E106" s="2">
        <v>39489</v>
      </c>
      <c r="F106" s="13">
        <f t="shared" ca="1" si="19"/>
        <v>41656.483561643836</v>
      </c>
      <c r="G106" s="3">
        <v>11.26</v>
      </c>
      <c r="H106" s="3">
        <f t="shared" si="22"/>
        <v>88.80994671403198</v>
      </c>
      <c r="I106" s="3">
        <v>1</v>
      </c>
      <c r="J106" s="3">
        <v>0</v>
      </c>
      <c r="K106" s="3">
        <v>0</v>
      </c>
      <c r="L106" s="3">
        <v>0</v>
      </c>
      <c r="M106" s="15">
        <v>-1000</v>
      </c>
      <c r="N106" s="10">
        <f>1000/G106*L106</f>
        <v>0</v>
      </c>
      <c r="O106" s="3">
        <f t="shared" ca="1" si="26"/>
        <v>5.934246575342466</v>
      </c>
      <c r="P106" s="12">
        <f t="shared" si="27"/>
        <v>-1</v>
      </c>
      <c r="Q106" s="12">
        <f t="shared" ca="1" si="28"/>
        <v>-1</v>
      </c>
      <c r="R106" s="9" t="s">
        <v>406</v>
      </c>
    </row>
    <row r="107" spans="1:19" x14ac:dyDescent="0.25">
      <c r="A107" s="23">
        <f>18653-1626</f>
        <v>17027</v>
      </c>
      <c r="B107" t="s">
        <v>139</v>
      </c>
      <c r="C107" t="s">
        <v>297</v>
      </c>
      <c r="D107" t="s">
        <v>10</v>
      </c>
      <c r="E107" s="2">
        <v>39554</v>
      </c>
      <c r="F107" s="13">
        <f t="shared" si="19"/>
        <v>39772.149315068491</v>
      </c>
      <c r="G107" s="3">
        <v>86.78</v>
      </c>
      <c r="H107" s="3">
        <f t="shared" si="22"/>
        <v>11.523392486748099</v>
      </c>
      <c r="I107" s="3">
        <v>1</v>
      </c>
      <c r="J107" s="3">
        <f>H107*(0.226+0.26)+H107/2*18.07</f>
        <v>109.71421986632865</v>
      </c>
      <c r="K107" s="3">
        <v>0</v>
      </c>
      <c r="L107" s="3">
        <f>(176+140)/2</f>
        <v>158</v>
      </c>
      <c r="M107" s="15">
        <v>-1000</v>
      </c>
      <c r="N107" s="10">
        <f>H107*I107*L107+(J107)+(K107)</f>
        <v>1930.4102327725284</v>
      </c>
      <c r="O107" s="3">
        <f>((DATE(2008,10,10)+DATE(2008,12,31))/2-E107)/365</f>
        <v>0.59726027397260273</v>
      </c>
      <c r="P107" s="12">
        <f t="shared" si="27"/>
        <v>0.93041023277252843</v>
      </c>
      <c r="Q107" s="12">
        <f t="shared" si="28"/>
        <v>2.0079218644231949</v>
      </c>
      <c r="R107" s="9" t="s">
        <v>296</v>
      </c>
      <c r="S107" t="s">
        <v>145</v>
      </c>
    </row>
    <row r="108" spans="1:19" x14ac:dyDescent="0.25">
      <c r="A108" s="23">
        <v>18027</v>
      </c>
      <c r="B108" t="s">
        <v>138</v>
      </c>
      <c r="C108" t="s">
        <v>298</v>
      </c>
      <c r="D108" t="s">
        <v>10</v>
      </c>
      <c r="E108" s="2">
        <v>39568</v>
      </c>
      <c r="F108" s="13">
        <f t="shared" si="19"/>
        <v>40087.355479452053</v>
      </c>
      <c r="G108" s="3">
        <v>4.18</v>
      </c>
      <c r="H108" s="3">
        <f t="shared" si="22"/>
        <v>239.23444976076556</v>
      </c>
      <c r="I108" s="3">
        <v>1</v>
      </c>
      <c r="J108" s="3">
        <v>0</v>
      </c>
      <c r="K108" s="3">
        <v>0</v>
      </c>
      <c r="L108" s="3">
        <f>(4.88+5.12)/2</f>
        <v>5</v>
      </c>
      <c r="M108" s="15">
        <v>-1000</v>
      </c>
      <c r="N108" s="10">
        <f>H108*I108*L108+(J108)+(K108)</f>
        <v>1196.1722488038279</v>
      </c>
      <c r="O108" s="3">
        <f>(DATE(2009,10,1)-E108)/365</f>
        <v>1.4219178082191781</v>
      </c>
      <c r="P108" s="12">
        <f t="shared" si="27"/>
        <v>0.19617224880382786</v>
      </c>
      <c r="Q108" s="12">
        <f t="shared" si="28"/>
        <v>0.13425426627395431</v>
      </c>
      <c r="R108" s="9" t="s">
        <v>299</v>
      </c>
      <c r="S108" t="s">
        <v>162</v>
      </c>
    </row>
    <row r="109" spans="1:19" x14ac:dyDescent="0.25">
      <c r="A109" s="23">
        <v>19027</v>
      </c>
      <c r="B109" t="s">
        <v>136</v>
      </c>
      <c r="C109" t="s">
        <v>137</v>
      </c>
      <c r="D109" t="s">
        <v>10</v>
      </c>
      <c r="E109" s="2">
        <v>39575</v>
      </c>
      <c r="F109" s="13">
        <f t="shared" ca="1" si="19"/>
        <v>41656.424657534248</v>
      </c>
      <c r="G109" s="3">
        <v>6.89</v>
      </c>
      <c r="H109" s="3">
        <f t="shared" si="22"/>
        <v>145.1378809869376</v>
      </c>
      <c r="I109" s="3">
        <v>1</v>
      </c>
      <c r="J109" s="3">
        <v>0</v>
      </c>
      <c r="K109" s="3">
        <v>0</v>
      </c>
      <c r="L109" s="3">
        <v>0</v>
      </c>
      <c r="M109" s="15">
        <v>-1000</v>
      </c>
      <c r="N109" s="10">
        <f>1000/G109*L109</f>
        <v>0</v>
      </c>
      <c r="O109" s="3">
        <f t="shared" ref="O109:O115" ca="1" si="29">($AA$17-E109)/365</f>
        <v>5.6986301369863011</v>
      </c>
      <c r="P109" s="12">
        <f t="shared" si="27"/>
        <v>-1</v>
      </c>
      <c r="Q109" s="12">
        <f t="shared" ca="1" si="28"/>
        <v>-1</v>
      </c>
      <c r="R109" s="9" t="s">
        <v>407</v>
      </c>
    </row>
    <row r="110" spans="1:19" x14ac:dyDescent="0.25">
      <c r="A110" s="23">
        <v>20027</v>
      </c>
      <c r="B110" t="s">
        <v>457</v>
      </c>
      <c r="C110" t="s">
        <v>458</v>
      </c>
      <c r="D110" t="s">
        <v>10</v>
      </c>
      <c r="E110" s="2">
        <v>39645</v>
      </c>
      <c r="F110" s="13">
        <f t="shared" ca="1" si="19"/>
        <v>41656.376712328769</v>
      </c>
      <c r="G110" s="3">
        <v>97.68</v>
      </c>
      <c r="H110" s="3">
        <f t="shared" si="22"/>
        <v>10.237510237510238</v>
      </c>
      <c r="I110" s="3">
        <v>1</v>
      </c>
      <c r="J110" s="3">
        <f>H110*(0.507+0.393+0.345+0.234+0.216+0.182+0.125+0.126+0.123+0.138+0.142+0.142+0.149+0.175+0.2+0.218+0.204+0.238+0.251+0.256+0.243+0.284+0.28+0.294+0.301+0.349+0.329+0.301+0.341+0.353+0.361+0.347+0.371+0.363+0.314+0.367+0.318+0.312+0.318+0.304+0.316+0.306+0.263+0.254+0.255+0.243+0.239+0.205+0.196+0.175+0.187+0.182+0.162+0.15+0.149+0.133+0.13+0.133+0.122)</f>
        <v>149.61097461097467</v>
      </c>
      <c r="K110" s="3">
        <v>0</v>
      </c>
      <c r="L110" s="3">
        <f>'Data (ignore)'!B566</f>
        <v>89.13</v>
      </c>
      <c r="M110" s="15">
        <v>-1000</v>
      </c>
      <c r="N110" s="10">
        <f t="shared" ref="N110:N118" si="30">H110*I110*L110+(J110)+(K110)</f>
        <v>1062.0802620802622</v>
      </c>
      <c r="O110" s="3">
        <f t="shared" ca="1" si="29"/>
        <v>5.506849315068493</v>
      </c>
      <c r="P110" s="12">
        <f>(N110-1000)/1000</f>
        <v>6.2080262080262176E-2</v>
      </c>
      <c r="Q110" s="12">
        <f ca="1">(N110/1000)^(1/O110)-1</f>
        <v>1.0997226884308819E-2</v>
      </c>
      <c r="R110" s="9" t="s">
        <v>459</v>
      </c>
    </row>
    <row r="111" spans="1:19" x14ac:dyDescent="0.25">
      <c r="A111" s="23">
        <v>21027</v>
      </c>
      <c r="B111" t="s">
        <v>460</v>
      </c>
      <c r="C111" t="s">
        <v>464</v>
      </c>
      <c r="D111" t="s">
        <v>10</v>
      </c>
      <c r="E111" s="2">
        <v>39645</v>
      </c>
      <c r="F111" s="13">
        <f t="shared" ca="1" si="19"/>
        <v>41656.376712328769</v>
      </c>
      <c r="G111" s="3">
        <v>99.97</v>
      </c>
      <c r="H111" s="3">
        <f t="shared" si="22"/>
        <v>10.003000900270081</v>
      </c>
      <c r="I111" s="3">
        <v>1</v>
      </c>
      <c r="J111">
        <f>H111*(0.178+0.179+0.281+0.092+0.068+0.023+0.003+0.003+0.008+0.009+0.009+0.008+0.009+0.011+0.014+0.019+0.012+0.014+0.018+0.016+0.013+0.009+0.008+0.009+0.008+0.016+0.015+0.011+0.006+0.008+0.011+0.011+0.011+0.015+0.015+0.018+0.017+0.018+0.018+0.02+0.017+0.02)</f>
        <v>12.683805141542456</v>
      </c>
      <c r="K111" s="3">
        <v>0</v>
      </c>
      <c r="L111" s="3">
        <f>'Data (ignore)'!B584</f>
        <v>90.83</v>
      </c>
      <c r="M111" s="15">
        <v>-1000</v>
      </c>
      <c r="N111" s="10">
        <f t="shared" si="30"/>
        <v>921.25637691307395</v>
      </c>
      <c r="O111" s="3">
        <f t="shared" ca="1" si="29"/>
        <v>5.506849315068493</v>
      </c>
      <c r="P111" s="12">
        <f>(N111-1000)/1000</f>
        <v>-7.8743623086926048E-2</v>
      </c>
      <c r="Q111" s="12">
        <f ca="1">(N111/1000)^(1/O111)-1</f>
        <v>-1.478325725199281E-2</v>
      </c>
      <c r="R111" s="9" t="s">
        <v>459</v>
      </c>
    </row>
    <row r="112" spans="1:19" x14ac:dyDescent="0.25">
      <c r="A112" s="23">
        <v>22027</v>
      </c>
      <c r="B112" t="s">
        <v>461</v>
      </c>
      <c r="C112" t="s">
        <v>465</v>
      </c>
      <c r="D112" t="s">
        <v>10</v>
      </c>
      <c r="E112" s="2">
        <v>39645</v>
      </c>
      <c r="F112" s="13">
        <f t="shared" ca="1" si="19"/>
        <v>41656.376712328769</v>
      </c>
      <c r="G112" s="3">
        <v>158.44999999999999</v>
      </c>
      <c r="H112" s="3">
        <f>1000/G112</f>
        <v>6.3111391606184917</v>
      </c>
      <c r="I112" s="3">
        <v>1</v>
      </c>
      <c r="J112" s="3">
        <f>H112*(0.474+0.423+0.08+0.264+0.215+0.13+0.059+0.045+0.021+0.012+0.002+0.009+0.001+0.041+0.045+0.056+0.042+0.029+0.037+0.038+0.013)</f>
        <v>12.849479331019246</v>
      </c>
      <c r="K112" s="3">
        <v>0</v>
      </c>
      <c r="L112" s="3">
        <f>'Data (ignore)'!B602</f>
        <v>134.44</v>
      </c>
      <c r="M112" s="15">
        <v>-1000</v>
      </c>
      <c r="N112" s="10">
        <f t="shared" si="30"/>
        <v>861.31902808456925</v>
      </c>
      <c r="O112" s="3">
        <f t="shared" ca="1" si="29"/>
        <v>5.506849315068493</v>
      </c>
      <c r="P112" s="12">
        <f>(N112-1000)/1000</f>
        <v>-0.13868097191543075</v>
      </c>
      <c r="Q112" s="12">
        <f ca="1">(N112/1000)^(1/O112)-1</f>
        <v>-2.6745756262658404E-2</v>
      </c>
      <c r="R112" s="9" t="s">
        <v>459</v>
      </c>
    </row>
    <row r="113" spans="1:19" x14ac:dyDescent="0.25">
      <c r="A113" s="23">
        <v>23027</v>
      </c>
      <c r="B113" t="s">
        <v>462</v>
      </c>
      <c r="C113" t="s">
        <v>466</v>
      </c>
      <c r="D113" t="s">
        <v>10</v>
      </c>
      <c r="E113" s="2">
        <v>39645</v>
      </c>
      <c r="F113" s="13">
        <f t="shared" ca="1" si="19"/>
        <v>41656.376712328769</v>
      </c>
      <c r="G113" s="3">
        <v>98.4</v>
      </c>
      <c r="H113" s="3">
        <f>1000/G113</f>
        <v>10.16260162601626</v>
      </c>
      <c r="I113" s="3">
        <v>1</v>
      </c>
      <c r="J113" s="3">
        <f>H113*(0.092+0.092+0.104)</f>
        <v>2.9268292682926824</v>
      </c>
      <c r="K113" s="3">
        <v>0</v>
      </c>
      <c r="L113" s="3">
        <f>'Data (ignore)'!B620</f>
        <v>107.78</v>
      </c>
      <c r="M113" s="15">
        <v>-1000</v>
      </c>
      <c r="N113" s="10">
        <f t="shared" si="30"/>
        <v>1098.2520325203252</v>
      </c>
      <c r="O113" s="3">
        <f t="shared" ca="1" si="29"/>
        <v>5.506849315068493</v>
      </c>
      <c r="P113" s="12">
        <f>(N113-1000)/1000</f>
        <v>9.8252032520325203E-2</v>
      </c>
      <c r="Q113" s="12">
        <f ca="1">(N113/1000)^(1/O113)-1</f>
        <v>1.7164424045985394E-2</v>
      </c>
      <c r="R113" s="9" t="s">
        <v>459</v>
      </c>
    </row>
    <row r="114" spans="1:19" x14ac:dyDescent="0.25">
      <c r="A114" s="23">
        <v>24027</v>
      </c>
      <c r="B114" t="s">
        <v>463</v>
      </c>
      <c r="C114" t="s">
        <v>467</v>
      </c>
      <c r="D114" t="s">
        <v>10</v>
      </c>
      <c r="E114" s="2">
        <v>39645</v>
      </c>
      <c r="F114" s="13">
        <f t="shared" ca="1" si="19"/>
        <v>41656.376712328769</v>
      </c>
      <c r="G114" s="3">
        <v>94.94</v>
      </c>
      <c r="H114" s="3">
        <f>1000/G114</f>
        <v>10.532968190436065</v>
      </c>
      <c r="I114" s="3">
        <v>1</v>
      </c>
      <c r="J114" s="3">
        <v>0</v>
      </c>
      <c r="K114" s="3">
        <v>0</v>
      </c>
      <c r="L114" s="3">
        <f>'Data (ignore)'!B638</f>
        <v>93.37</v>
      </c>
      <c r="M114" s="15">
        <v>-1000</v>
      </c>
      <c r="N114" s="10">
        <f t="shared" si="30"/>
        <v>983.46323994101544</v>
      </c>
      <c r="O114" s="3">
        <f t="shared" ca="1" si="29"/>
        <v>5.506849315068493</v>
      </c>
      <c r="P114" s="12">
        <f>(N114-1000)/1000</f>
        <v>-1.6536760058984554E-2</v>
      </c>
      <c r="Q114" s="12">
        <f ca="1">(N114/1000)^(1/O114)-1</f>
        <v>-3.023470724810573E-3</v>
      </c>
      <c r="R114" s="9" t="s">
        <v>459</v>
      </c>
    </row>
    <row r="115" spans="1:19" x14ac:dyDescent="0.25">
      <c r="A115" s="23">
        <v>25027</v>
      </c>
      <c r="B115" t="s">
        <v>140</v>
      </c>
      <c r="C115" t="s">
        <v>301</v>
      </c>
      <c r="D115" t="s">
        <v>10</v>
      </c>
      <c r="E115" s="2">
        <v>39672</v>
      </c>
      <c r="F115" s="13">
        <f t="shared" ca="1" si="19"/>
        <v>41656.358219178081</v>
      </c>
      <c r="G115" s="3">
        <v>30.45</v>
      </c>
      <c r="H115" s="3">
        <f t="shared" si="22"/>
        <v>32.840722495894909</v>
      </c>
      <c r="I115" s="3">
        <v>0.45629999999999998</v>
      </c>
      <c r="J115" s="3">
        <f>H115*18*0.575+(H115*I115*(1.3+1.32+1.35))</f>
        <v>399.39280788177336</v>
      </c>
      <c r="K115" s="3">
        <v>0</v>
      </c>
      <c r="L115" s="3">
        <f>L119</f>
        <v>80.53</v>
      </c>
      <c r="M115" s="15">
        <v>-1000</v>
      </c>
      <c r="N115" s="10">
        <f t="shared" si="30"/>
        <v>1606.152709359606</v>
      </c>
      <c r="O115" s="3">
        <f t="shared" ca="1" si="29"/>
        <v>5.4328767123287669</v>
      </c>
      <c r="P115" s="12">
        <f t="shared" si="27"/>
        <v>0.60615270935960597</v>
      </c>
      <c r="Q115" s="12">
        <f t="shared" ca="1" si="28"/>
        <v>9.1133929984918538E-2</v>
      </c>
      <c r="R115" s="9" t="s">
        <v>300</v>
      </c>
      <c r="S115" t="s">
        <v>543</v>
      </c>
    </row>
    <row r="116" spans="1:19" x14ac:dyDescent="0.25">
      <c r="A116" s="23">
        <v>26027</v>
      </c>
      <c r="B116" t="s">
        <v>141</v>
      </c>
      <c r="C116" t="s">
        <v>141</v>
      </c>
      <c r="D116" t="s">
        <v>10</v>
      </c>
      <c r="E116" s="2">
        <v>39744</v>
      </c>
      <c r="F116" s="13">
        <f t="shared" si="19"/>
        <v>40022.190410958901</v>
      </c>
      <c r="G116" s="3">
        <v>0.5</v>
      </c>
      <c r="H116" s="3">
        <f t="shared" si="22"/>
        <v>2000</v>
      </c>
      <c r="I116" s="3">
        <v>1</v>
      </c>
      <c r="J116" s="3">
        <v>0</v>
      </c>
      <c r="K116" s="3">
        <v>0</v>
      </c>
      <c r="L116" s="3">
        <v>0.68</v>
      </c>
      <c r="M116" s="15">
        <v>-1000</v>
      </c>
      <c r="N116" s="10">
        <f t="shared" si="30"/>
        <v>1360</v>
      </c>
      <c r="O116" s="3">
        <f>(DATE(2009,7,28)-E116)/365</f>
        <v>0.76164383561643834</v>
      </c>
      <c r="P116" s="12">
        <f t="shared" si="27"/>
        <v>0.36</v>
      </c>
      <c r="Q116" s="12">
        <f t="shared" si="28"/>
        <v>0.49737253061911191</v>
      </c>
      <c r="R116" s="9" t="s">
        <v>319</v>
      </c>
      <c r="S116" t="s">
        <v>153</v>
      </c>
    </row>
    <row r="117" spans="1:19" x14ac:dyDescent="0.25">
      <c r="A117" s="23">
        <v>27027</v>
      </c>
      <c r="B117" t="s">
        <v>454</v>
      </c>
      <c r="C117" t="s">
        <v>455</v>
      </c>
      <c r="D117" t="s">
        <v>10</v>
      </c>
      <c r="E117" s="2">
        <v>39744</v>
      </c>
      <c r="F117" s="13">
        <f t="shared" si="19"/>
        <v>40570.565753424657</v>
      </c>
      <c r="G117" s="3">
        <v>0.02</v>
      </c>
      <c r="H117" s="3">
        <f t="shared" si="22"/>
        <v>50000</v>
      </c>
      <c r="I117" s="3">
        <v>1</v>
      </c>
      <c r="J117" s="3">
        <v>0</v>
      </c>
      <c r="K117" s="3">
        <v>0</v>
      </c>
      <c r="L117" s="3">
        <f>(0.75*0.7)+(0.2*1.2)</f>
        <v>0.7649999999999999</v>
      </c>
      <c r="M117" s="15">
        <v>-1000</v>
      </c>
      <c r="N117" s="10">
        <f t="shared" si="30"/>
        <v>38249.999999999993</v>
      </c>
      <c r="O117" s="3">
        <f>(DATE(2011,1,27)-E117)/365</f>
        <v>2.2630136986301368</v>
      </c>
      <c r="P117" s="12">
        <f>(N117-1000)/1000</f>
        <v>37.249999999999993</v>
      </c>
      <c r="Q117" s="12">
        <f>(N117/1000)^(1/O117)-1</f>
        <v>4.0043401624476695</v>
      </c>
      <c r="R117" s="9" t="s">
        <v>319</v>
      </c>
      <c r="S117" t="s">
        <v>456</v>
      </c>
    </row>
    <row r="118" spans="1:19" x14ac:dyDescent="0.25">
      <c r="A118" s="23">
        <v>28027</v>
      </c>
      <c r="B118" t="s">
        <v>434</v>
      </c>
      <c r="C118" t="s">
        <v>142</v>
      </c>
      <c r="D118" t="s">
        <v>10</v>
      </c>
      <c r="E118" s="2">
        <v>39792</v>
      </c>
      <c r="F118" s="13">
        <f t="shared" si="19"/>
        <v>40515.495205479448</v>
      </c>
      <c r="G118" s="3">
        <v>11.81</v>
      </c>
      <c r="H118" s="3">
        <f t="shared" si="22"/>
        <v>84.674005080440296</v>
      </c>
      <c r="I118" s="3">
        <v>1</v>
      </c>
      <c r="J118" s="3">
        <v>0</v>
      </c>
      <c r="K118" s="3">
        <v>0</v>
      </c>
      <c r="L118" s="3">
        <v>24.5</v>
      </c>
      <c r="M118" s="15">
        <v>-1000</v>
      </c>
      <c r="N118" s="10">
        <f t="shared" si="30"/>
        <v>2074.5131244707873</v>
      </c>
      <c r="O118" s="3">
        <f>(DATE(2010,12,3)-E118)/365</f>
        <v>1.9808219178082191</v>
      </c>
      <c r="P118" s="12">
        <f t="shared" si="27"/>
        <v>1.0745131244707873</v>
      </c>
      <c r="Q118" s="12">
        <f t="shared" si="28"/>
        <v>0.44541402959620857</v>
      </c>
      <c r="R118" s="9" t="s">
        <v>433</v>
      </c>
    </row>
    <row r="119" spans="1:19" x14ac:dyDescent="0.25">
      <c r="A119" s="23">
        <v>29027</v>
      </c>
      <c r="B119" t="s">
        <v>140</v>
      </c>
      <c r="C119" t="s">
        <v>301</v>
      </c>
      <c r="D119" t="s">
        <v>10</v>
      </c>
      <c r="E119" s="2">
        <v>39800</v>
      </c>
      <c r="F119" s="13">
        <f t="shared" ca="1" si="19"/>
        <v>41656.270547945205</v>
      </c>
      <c r="G119" s="3">
        <v>10.24</v>
      </c>
      <c r="H119" s="3">
        <f t="shared" si="22"/>
        <v>97.65625</v>
      </c>
      <c r="I119" s="3">
        <v>0.45629999999999998</v>
      </c>
      <c r="J119" s="3">
        <f>H119*17*0.575+(H119*I119*(1.3+1.32+1.35))</f>
        <v>1131.4952148437499</v>
      </c>
      <c r="K119" s="3">
        <v>0</v>
      </c>
      <c r="L119" s="3">
        <f>'Data (ignore)'!B656</f>
        <v>80.53</v>
      </c>
      <c r="M119" s="15">
        <v>-1000</v>
      </c>
      <c r="N119" s="10">
        <f t="shared" ref="N119:N124" si="31">H119*I119*L119+(J119)+(K119)</f>
        <v>4719.9560546875</v>
      </c>
      <c r="O119" s="3">
        <f ca="1">($AA$17-E119)/365</f>
        <v>5.0821917808219181</v>
      </c>
      <c r="P119" s="12">
        <f t="shared" ref="P119:P133" si="32">(N119-1000)/1000</f>
        <v>3.7199560546875001</v>
      </c>
      <c r="Q119" s="12">
        <f t="shared" ref="Q119:Q133" ca="1" si="33">(N119/1000)^(1/O119)-1</f>
        <v>0.3570871485643754</v>
      </c>
      <c r="R119" s="9" t="s">
        <v>302</v>
      </c>
    </row>
    <row r="120" spans="1:19" x14ac:dyDescent="0.25">
      <c r="A120" s="23">
        <v>30027</v>
      </c>
      <c r="B120" t="s">
        <v>143</v>
      </c>
      <c r="C120" t="s">
        <v>303</v>
      </c>
      <c r="D120" t="s">
        <v>10</v>
      </c>
      <c r="E120" s="2">
        <v>39800</v>
      </c>
      <c r="F120" s="13">
        <f t="shared" si="19"/>
        <v>39828.019178082192</v>
      </c>
      <c r="G120" s="3">
        <v>84.65</v>
      </c>
      <c r="H120" s="3">
        <f t="shared" si="22"/>
        <v>11.813349084465445</v>
      </c>
      <c r="I120" s="3">
        <v>1</v>
      </c>
      <c r="J120" s="3">
        <f>H120*11.49</f>
        <v>135.73538098050795</v>
      </c>
      <c r="K120" s="3">
        <v>0</v>
      </c>
      <c r="L120" s="3">
        <v>79.73</v>
      </c>
      <c r="M120" s="15">
        <v>-1000</v>
      </c>
      <c r="N120" s="10">
        <f t="shared" si="31"/>
        <v>1077.613703484938</v>
      </c>
      <c r="O120" s="3">
        <f>(DATE(2009,1,15)-E120)/365</f>
        <v>7.6712328767123292E-2</v>
      </c>
      <c r="P120" s="12">
        <f t="shared" si="32"/>
        <v>7.7613703484938013E-2</v>
      </c>
      <c r="Q120" s="12">
        <f t="shared" si="33"/>
        <v>1.6495966597330667</v>
      </c>
      <c r="R120" s="9" t="s">
        <v>302</v>
      </c>
      <c r="S120" t="s">
        <v>146</v>
      </c>
    </row>
    <row r="121" spans="1:19" x14ac:dyDescent="0.25">
      <c r="A121" s="23">
        <v>31027</v>
      </c>
      <c r="B121" t="s">
        <v>144</v>
      </c>
      <c r="C121" t="s">
        <v>304</v>
      </c>
      <c r="D121" t="s">
        <v>10</v>
      </c>
      <c r="E121" s="2">
        <v>39812</v>
      </c>
      <c r="F121" s="13">
        <f t="shared" si="19"/>
        <v>39953.096575342468</v>
      </c>
      <c r="G121" s="3">
        <v>35.85</v>
      </c>
      <c r="H121" s="3">
        <f t="shared" si="22"/>
        <v>27.894002789400279</v>
      </c>
      <c r="I121" s="3">
        <v>1</v>
      </c>
      <c r="J121" s="3">
        <v>0</v>
      </c>
      <c r="K121" s="3">
        <v>0</v>
      </c>
      <c r="L121" s="3">
        <v>49.95</v>
      </c>
      <c r="M121" s="15">
        <v>-1000</v>
      </c>
      <c r="N121" s="10">
        <f t="shared" si="31"/>
        <v>1393.305439330544</v>
      </c>
      <c r="O121" s="3">
        <f>(DATE(2009,5,20)-E121)/365</f>
        <v>0.38630136986301372</v>
      </c>
      <c r="P121" s="12">
        <f t="shared" si="32"/>
        <v>0.39330543933054402</v>
      </c>
      <c r="Q121" s="12">
        <f t="shared" si="33"/>
        <v>1.3598581381959947</v>
      </c>
      <c r="R121" s="9" t="s">
        <v>305</v>
      </c>
      <c r="S121" t="s">
        <v>152</v>
      </c>
    </row>
    <row r="122" spans="1:19" x14ac:dyDescent="0.25">
      <c r="A122" s="23">
        <f>32027-1930-1963</f>
        <v>28134</v>
      </c>
      <c r="B122" t="s">
        <v>178</v>
      </c>
      <c r="C122" t="s">
        <v>306</v>
      </c>
      <c r="D122" t="s">
        <v>10</v>
      </c>
      <c r="E122" s="2">
        <v>39855</v>
      </c>
      <c r="F122" s="13">
        <f t="shared" ca="1" si="19"/>
        <v>41656.232876712325</v>
      </c>
      <c r="G122" s="3">
        <v>13.34</v>
      </c>
      <c r="H122" s="3">
        <f t="shared" si="22"/>
        <v>74.96251874062969</v>
      </c>
      <c r="I122" s="3">
        <v>1</v>
      </c>
      <c r="J122" s="3">
        <v>0</v>
      </c>
      <c r="K122" s="3">
        <v>0</v>
      </c>
      <c r="L122" s="3">
        <f>'Data (ignore)'!B672</f>
        <v>19.399999999999999</v>
      </c>
      <c r="M122" s="15">
        <v>-1000</v>
      </c>
      <c r="N122" s="10">
        <f t="shared" si="31"/>
        <v>1454.2728635682158</v>
      </c>
      <c r="O122" s="3">
        <f ca="1">($AA$17-E122)/365</f>
        <v>4.9315068493150687</v>
      </c>
      <c r="P122" s="12">
        <f t="shared" si="32"/>
        <v>0.45427286356821583</v>
      </c>
      <c r="Q122" s="12">
        <f t="shared" ca="1" si="33"/>
        <v>7.8899456295719927E-2</v>
      </c>
      <c r="R122" s="9" t="s">
        <v>307</v>
      </c>
    </row>
    <row r="123" spans="1:19" x14ac:dyDescent="0.25">
      <c r="A123" s="23">
        <v>29134</v>
      </c>
      <c r="B123" t="s">
        <v>170</v>
      </c>
      <c r="C123" t="s">
        <v>308</v>
      </c>
      <c r="D123" t="s">
        <v>10</v>
      </c>
      <c r="E123" s="2">
        <v>39855</v>
      </c>
      <c r="F123" s="13">
        <f t="shared" si="19"/>
        <v>41629.214383561644</v>
      </c>
      <c r="G123" s="3">
        <v>92.29</v>
      </c>
      <c r="H123" s="3">
        <f t="shared" si="22"/>
        <v>10.835410120273052</v>
      </c>
      <c r="I123" s="3">
        <v>1</v>
      </c>
      <c r="J123" s="3">
        <v>0</v>
      </c>
      <c r="K123" s="3">
        <v>0</v>
      </c>
      <c r="L123" s="3">
        <v>115.94</v>
      </c>
      <c r="M123" s="15">
        <v>-1000</v>
      </c>
      <c r="N123" s="10">
        <f t="shared" si="31"/>
        <v>1256.2574493444577</v>
      </c>
      <c r="O123" s="3">
        <f>(DATE(2013,12,20)-E123)/365</f>
        <v>4.8575342465753426</v>
      </c>
      <c r="P123" s="12">
        <f t="shared" si="32"/>
        <v>0.25625744934445766</v>
      </c>
      <c r="Q123" s="12">
        <f t="shared" si="33"/>
        <v>4.8085956940015606E-2</v>
      </c>
      <c r="R123" s="9" t="s">
        <v>307</v>
      </c>
      <c r="S123" t="s">
        <v>647</v>
      </c>
    </row>
    <row r="124" spans="1:19" x14ac:dyDescent="0.25">
      <c r="A124" s="23">
        <v>30134</v>
      </c>
      <c r="B124" t="s">
        <v>147</v>
      </c>
      <c r="C124" t="s">
        <v>309</v>
      </c>
      <c r="D124" t="s">
        <v>10</v>
      </c>
      <c r="E124" s="2">
        <v>39874</v>
      </c>
      <c r="F124" s="13">
        <f t="shared" ca="1" si="19"/>
        <v>41656.219863013699</v>
      </c>
      <c r="G124" s="3">
        <v>2.33</v>
      </c>
      <c r="H124" s="3">
        <f t="shared" si="22"/>
        <v>429.18454935622316</v>
      </c>
      <c r="I124" s="3">
        <v>1</v>
      </c>
      <c r="J124" s="3">
        <f>H124*(0.017*5+0.021*6+0.25)</f>
        <v>197.85407725321889</v>
      </c>
      <c r="K124" s="3">
        <v>0</v>
      </c>
      <c r="L124" s="3">
        <f>L146</f>
        <v>8.99</v>
      </c>
      <c r="M124" s="15">
        <v>-1000</v>
      </c>
      <c r="N124" s="10">
        <f t="shared" si="31"/>
        <v>4056.2231759656652</v>
      </c>
      <c r="O124" s="3">
        <f ca="1">($AA$17-E124)/365</f>
        <v>4.8794520547945206</v>
      </c>
      <c r="P124" s="12">
        <f t="shared" si="32"/>
        <v>3.0562231759656653</v>
      </c>
      <c r="Q124" s="12">
        <f t="shared" ca="1" si="33"/>
        <v>0.33238313061433211</v>
      </c>
      <c r="R124" s="9" t="s">
        <v>310</v>
      </c>
    </row>
    <row r="125" spans="1:19" x14ac:dyDescent="0.25">
      <c r="A125" s="23">
        <v>31134</v>
      </c>
      <c r="B125" t="s">
        <v>114</v>
      </c>
      <c r="C125" t="s">
        <v>115</v>
      </c>
      <c r="D125" t="s">
        <v>10</v>
      </c>
      <c r="E125" s="2">
        <v>39884</v>
      </c>
      <c r="F125" s="13">
        <f t="shared" ca="1" si="19"/>
        <v>40784.616438356163</v>
      </c>
      <c r="G125" s="3">
        <v>13.15</v>
      </c>
      <c r="H125" s="3">
        <f t="shared" si="22"/>
        <v>76.045627376425855</v>
      </c>
      <c r="I125" s="3">
        <v>1</v>
      </c>
      <c r="J125" s="3">
        <f>H125*0.18+H125/2*(0.18*11+0.2*5+0.23*2)</f>
        <v>144.48669201520914</v>
      </c>
      <c r="K125" s="3">
        <v>0</v>
      </c>
      <c r="L125" s="3">
        <v>82.8</v>
      </c>
      <c r="M125" s="15">
        <v>-1000</v>
      </c>
      <c r="N125" s="10">
        <f>H125/2*18.83+H125/2*L125+J125</f>
        <v>4008.7452471482884</v>
      </c>
      <c r="O125" s="3">
        <f ca="1">((DATE(2009,4,10)/2+$AA$17/2)-E125)/365</f>
        <v>2.4657534246575343</v>
      </c>
      <c r="P125" s="12">
        <f t="shared" si="32"/>
        <v>3.0087452471482883</v>
      </c>
      <c r="Q125" s="12">
        <f t="shared" ca="1" si="33"/>
        <v>0.75611693173084049</v>
      </c>
      <c r="R125" s="9" t="s">
        <v>311</v>
      </c>
      <c r="S125" t="s">
        <v>150</v>
      </c>
    </row>
    <row r="126" spans="1:19" x14ac:dyDescent="0.25">
      <c r="A126" s="23">
        <v>32134</v>
      </c>
      <c r="B126" t="s">
        <v>148</v>
      </c>
      <c r="C126" t="s">
        <v>312</v>
      </c>
      <c r="D126" t="s">
        <v>10</v>
      </c>
      <c r="E126" s="2">
        <v>39884</v>
      </c>
      <c r="F126" s="13">
        <f t="shared" ca="1" si="19"/>
        <v>40784.616438356163</v>
      </c>
      <c r="G126" s="3">
        <v>13.95</v>
      </c>
      <c r="H126" s="3">
        <f t="shared" si="22"/>
        <v>71.68458781362007</v>
      </c>
      <c r="I126" s="3">
        <v>1</v>
      </c>
      <c r="J126" s="3">
        <f>H126/2*(0.05*8+0.12*4+0.22*3+0.25+0.3*3)</f>
        <v>96.415770609318997</v>
      </c>
      <c r="K126" s="3">
        <v>0</v>
      </c>
      <c r="L126" s="3">
        <v>43.54</v>
      </c>
      <c r="M126" s="15">
        <v>-1000</v>
      </c>
      <c r="N126" s="10">
        <f>H126/2*19.67+H126/2*33.03+J126</f>
        <v>1985.3046594982081</v>
      </c>
      <c r="O126" s="3">
        <f ca="1">((DATE(2009,4,10)/2+$AA$17/2)-E126)/365</f>
        <v>2.4657534246575343</v>
      </c>
      <c r="P126" s="12">
        <f t="shared" si="32"/>
        <v>0.98530465949820811</v>
      </c>
      <c r="Q126" s="12">
        <f t="shared" ca="1" si="33"/>
        <v>0.32064308010377607</v>
      </c>
      <c r="R126" s="9" t="s">
        <v>311</v>
      </c>
      <c r="S126" t="s">
        <v>150</v>
      </c>
    </row>
    <row r="127" spans="1:19" x14ac:dyDescent="0.25">
      <c r="A127" s="23">
        <v>33143</v>
      </c>
      <c r="B127" t="s">
        <v>149</v>
      </c>
      <c r="C127" t="s">
        <v>313</v>
      </c>
      <c r="D127" t="s">
        <v>10</v>
      </c>
      <c r="E127" s="2">
        <v>39911</v>
      </c>
      <c r="F127" s="13">
        <f t="shared" si="19"/>
        <v>40093.374828767126</v>
      </c>
      <c r="G127" s="3">
        <v>5.47</v>
      </c>
      <c r="H127" s="3">
        <f t="shared" si="22"/>
        <v>182.81535648994517</v>
      </c>
      <c r="I127" s="3">
        <v>1</v>
      </c>
      <c r="J127" s="3">
        <f>H127/4*0.133</f>
        <v>6.0786106032906773</v>
      </c>
      <c r="K127" s="3">
        <v>0</v>
      </c>
      <c r="L127" s="3">
        <v>14.84</v>
      </c>
      <c r="M127" s="15">
        <v>-1000</v>
      </c>
      <c r="N127" s="10">
        <f>H127/2*8.9+H127/4*13.25+H127/4*14.84</f>
        <v>2097.3491773308961</v>
      </c>
      <c r="O127" s="3">
        <f>((DATE(2009,7,2)/2+DATE(2009,10,8)/4+DATE(2010,4,19)/4)-E127)/365</f>
        <v>0.49931506849315066</v>
      </c>
      <c r="P127" s="12">
        <f t="shared" si="32"/>
        <v>1.0973491773308961</v>
      </c>
      <c r="Q127" s="12">
        <f t="shared" si="33"/>
        <v>3.4078212943911943</v>
      </c>
      <c r="R127" s="9" t="s">
        <v>314</v>
      </c>
      <c r="S127" t="s">
        <v>177</v>
      </c>
    </row>
    <row r="128" spans="1:19" x14ac:dyDescent="0.25">
      <c r="A128" s="23">
        <f>A127+1000-715-688-675</f>
        <v>32065</v>
      </c>
      <c r="B128" t="s">
        <v>151</v>
      </c>
      <c r="C128" t="s">
        <v>315</v>
      </c>
      <c r="D128" t="s">
        <v>10</v>
      </c>
      <c r="E128" s="2">
        <v>39923</v>
      </c>
      <c r="F128" s="13">
        <f t="shared" si="19"/>
        <v>39988.044520547948</v>
      </c>
      <c r="G128" s="3">
        <v>3.97</v>
      </c>
      <c r="H128" s="3">
        <f t="shared" si="22"/>
        <v>251.88916876574305</v>
      </c>
      <c r="I128" s="3">
        <v>1</v>
      </c>
      <c r="J128" s="3">
        <v>0</v>
      </c>
      <c r="K128" s="3">
        <v>0</v>
      </c>
      <c r="L128" s="3">
        <v>11.19</v>
      </c>
      <c r="M128" s="15">
        <v>-1000</v>
      </c>
      <c r="N128" s="10">
        <f>H128*I128*L128+(J128)+(K128)</f>
        <v>2818.6397984886648</v>
      </c>
      <c r="O128" s="3">
        <f>(DATE(2009,6,24)-E128)/365</f>
        <v>0.17808219178082191</v>
      </c>
      <c r="P128" s="12">
        <f t="shared" si="32"/>
        <v>1.8186397984886649</v>
      </c>
      <c r="Q128" s="12">
        <f t="shared" si="33"/>
        <v>335.62419862352226</v>
      </c>
      <c r="R128" s="9" t="s">
        <v>316</v>
      </c>
      <c r="S128" t="s">
        <v>156</v>
      </c>
    </row>
    <row r="129" spans="1:19" x14ac:dyDescent="0.25">
      <c r="A129" s="23">
        <f>A128+1000</f>
        <v>33065</v>
      </c>
      <c r="B129" t="s">
        <v>154</v>
      </c>
      <c r="C129" t="s">
        <v>317</v>
      </c>
      <c r="D129" t="s">
        <v>10</v>
      </c>
      <c r="E129" s="2">
        <v>39975</v>
      </c>
      <c r="F129" s="13">
        <f t="shared" si="19"/>
        <v>40022.032191780825</v>
      </c>
      <c r="G129" s="3">
        <v>3.32</v>
      </c>
      <c r="H129" s="3">
        <f t="shared" si="22"/>
        <v>301.20481927710847</v>
      </c>
      <c r="I129" s="3">
        <v>1</v>
      </c>
      <c r="J129" s="3">
        <v>0</v>
      </c>
      <c r="K129" s="3">
        <v>0</v>
      </c>
      <c r="L129" s="3">
        <v>5.88</v>
      </c>
      <c r="M129" s="15">
        <v>-1000</v>
      </c>
      <c r="N129" s="10">
        <f>H129*I129*L129+(J129)+(K129)</f>
        <v>1771.0843373493979</v>
      </c>
      <c r="O129" s="3">
        <f>(DATE(2009,7,28)-E129)/365</f>
        <v>0.12876712328767123</v>
      </c>
      <c r="P129" s="12">
        <f t="shared" si="32"/>
        <v>0.77108433734939785</v>
      </c>
      <c r="Q129" s="12">
        <f t="shared" si="33"/>
        <v>83.68673566813294</v>
      </c>
      <c r="R129" s="9" t="s">
        <v>318</v>
      </c>
      <c r="S129" t="s">
        <v>159</v>
      </c>
    </row>
    <row r="130" spans="1:19" x14ac:dyDescent="0.25">
      <c r="A130" s="23">
        <f>A129+1000-2818-810</f>
        <v>30437</v>
      </c>
      <c r="B130" t="s">
        <v>157</v>
      </c>
      <c r="C130" t="s">
        <v>320</v>
      </c>
      <c r="D130" t="s">
        <v>10</v>
      </c>
      <c r="E130" s="2">
        <v>40014</v>
      </c>
      <c r="F130" s="13">
        <f t="shared" ca="1" si="19"/>
        <v>41656.123972602742</v>
      </c>
      <c r="G130" s="3">
        <v>0.28999999999999998</v>
      </c>
      <c r="H130" s="3">
        <f t="shared" si="22"/>
        <v>3448.2758620689656</v>
      </c>
      <c r="I130" s="3">
        <v>1</v>
      </c>
      <c r="J130" s="3">
        <v>0</v>
      </c>
      <c r="K130" s="3">
        <v>0</v>
      </c>
      <c r="L130" s="3">
        <f>'Data (ignore)'!B756</f>
        <v>0.05</v>
      </c>
      <c r="M130" s="15">
        <v>-1000</v>
      </c>
      <c r="N130" s="10">
        <f>H130*I130*L130+(J130)+(K130)</f>
        <v>172.41379310344828</v>
      </c>
      <c r="O130" s="3">
        <f ca="1">($AA$17-E130)/365</f>
        <v>4.4958904109589044</v>
      </c>
      <c r="P130" s="12">
        <f t="shared" si="32"/>
        <v>-0.82758620689655171</v>
      </c>
      <c r="Q130" s="12">
        <f t="shared" ca="1" si="33"/>
        <v>-0.32361454332326245</v>
      </c>
      <c r="R130" s="9" t="s">
        <v>321</v>
      </c>
    </row>
    <row r="131" spans="1:19" x14ac:dyDescent="0.25">
      <c r="A131" s="23">
        <f>A130+1000</f>
        <v>31437</v>
      </c>
      <c r="B131" t="s">
        <v>158</v>
      </c>
      <c r="C131" t="s">
        <v>322</v>
      </c>
      <c r="D131" t="s">
        <v>10</v>
      </c>
      <c r="E131" s="2">
        <v>40016</v>
      </c>
      <c r="F131" s="13">
        <f t="shared" si="19"/>
        <v>40101.058219178085</v>
      </c>
      <c r="G131" s="3">
        <v>3.47</v>
      </c>
      <c r="H131" s="3">
        <f t="shared" si="22"/>
        <v>288.18443804034581</v>
      </c>
      <c r="I131" s="3">
        <v>1</v>
      </c>
      <c r="J131" s="3">
        <v>0</v>
      </c>
      <c r="K131" s="3">
        <v>0</v>
      </c>
      <c r="L131" s="3">
        <v>6.73</v>
      </c>
      <c r="M131" s="15">
        <v>-1000</v>
      </c>
      <c r="N131" s="10">
        <f>H131/2*4.71+H131/2*L131</f>
        <v>1648.4149855907781</v>
      </c>
      <c r="O131" s="3">
        <f>(DATE(2009,10,15)-E131)/365</f>
        <v>0.23287671232876711</v>
      </c>
      <c r="P131" s="12">
        <f t="shared" si="32"/>
        <v>0.64841498559077804</v>
      </c>
      <c r="Q131" s="12">
        <f t="shared" si="33"/>
        <v>7.5528197642420647</v>
      </c>
      <c r="R131" s="9" t="s">
        <v>323</v>
      </c>
      <c r="S131" t="s">
        <v>164</v>
      </c>
    </row>
    <row r="132" spans="1:19" x14ac:dyDescent="0.25">
      <c r="A132" s="23">
        <f>A131+1000-1771-678-1360</f>
        <v>28628</v>
      </c>
      <c r="B132" t="s">
        <v>160</v>
      </c>
      <c r="C132" t="s">
        <v>324</v>
      </c>
      <c r="D132" t="s">
        <v>10</v>
      </c>
      <c r="E132" s="2">
        <v>40030</v>
      </c>
      <c r="F132" s="13">
        <f t="shared" si="19"/>
        <v>40429.273287671233</v>
      </c>
      <c r="G132" s="3">
        <v>1.9</v>
      </c>
      <c r="H132" s="3">
        <f t="shared" si="22"/>
        <v>526.31578947368428</v>
      </c>
      <c r="I132" s="3">
        <v>1</v>
      </c>
      <c r="J132" s="3">
        <v>0</v>
      </c>
      <c r="K132" s="3">
        <v>0</v>
      </c>
      <c r="L132" s="3">
        <v>2.72</v>
      </c>
      <c r="M132" s="15">
        <v>-1000</v>
      </c>
      <c r="N132" s="10">
        <f>H132*I132*L132+(J132)+(K132)</f>
        <v>1431.5789473684213</v>
      </c>
      <c r="O132" s="3">
        <f>(DATE(2010,9,8)-E132)/365</f>
        <v>1.0931506849315069</v>
      </c>
      <c r="P132" s="12">
        <f t="shared" si="32"/>
        <v>0.43157894736842128</v>
      </c>
      <c r="Q132" s="12">
        <f t="shared" si="33"/>
        <v>0.38847418173099202</v>
      </c>
      <c r="R132" s="9" t="s">
        <v>325</v>
      </c>
      <c r="S132" t="s">
        <v>179</v>
      </c>
    </row>
    <row r="133" spans="1:19" x14ac:dyDescent="0.25">
      <c r="A133" s="23">
        <f>A132+1000</f>
        <v>29628</v>
      </c>
      <c r="B133" t="s">
        <v>161</v>
      </c>
      <c r="C133" t="s">
        <v>436</v>
      </c>
      <c r="D133" t="s">
        <v>10</v>
      </c>
      <c r="E133" s="2">
        <v>40030</v>
      </c>
      <c r="F133" s="13">
        <f t="shared" si="19"/>
        <v>40379.239041095891</v>
      </c>
      <c r="G133" s="3">
        <v>2</v>
      </c>
      <c r="H133" s="3">
        <f t="shared" si="22"/>
        <v>500</v>
      </c>
      <c r="I133" s="3">
        <v>1</v>
      </c>
      <c r="J133" s="3">
        <v>0</v>
      </c>
      <c r="K133" s="3">
        <v>0</v>
      </c>
      <c r="L133" s="3">
        <v>2.2000000000000002</v>
      </c>
      <c r="M133" s="15">
        <v>-1000</v>
      </c>
      <c r="N133" s="10">
        <f>H133*I133*L133+(J133)+(K133)</f>
        <v>1100</v>
      </c>
      <c r="O133" s="3">
        <f>(DATE(2010,7,20)-E133)/365</f>
        <v>0.95616438356164379</v>
      </c>
      <c r="P133" s="12">
        <f t="shared" si="32"/>
        <v>0.1</v>
      </c>
      <c r="Q133" s="12">
        <f t="shared" si="33"/>
        <v>0.10481698955560259</v>
      </c>
      <c r="R133" s="9" t="s">
        <v>325</v>
      </c>
      <c r="S133" t="s">
        <v>435</v>
      </c>
    </row>
    <row r="134" spans="1:19" x14ac:dyDescent="0.25">
      <c r="A134" s="23">
        <f>A133+1000-1196</f>
        <v>29432</v>
      </c>
      <c r="B134" t="s">
        <v>163</v>
      </c>
      <c r="C134" t="s">
        <v>326</v>
      </c>
      <c r="D134" t="s">
        <v>10</v>
      </c>
      <c r="E134" s="2">
        <v>40087</v>
      </c>
      <c r="F134" s="13">
        <f t="shared" ca="1" si="19"/>
        <v>41656.073972602739</v>
      </c>
      <c r="G134" s="3">
        <v>4.5</v>
      </c>
      <c r="H134" s="3">
        <f t="shared" si="22"/>
        <v>222.22222222222223</v>
      </c>
      <c r="I134" s="3">
        <v>1</v>
      </c>
      <c r="J134" s="3">
        <v>0</v>
      </c>
      <c r="K134" s="3">
        <v>0</v>
      </c>
      <c r="L134" s="3">
        <f>L145</f>
        <v>11.96</v>
      </c>
      <c r="M134" s="15">
        <v>-1000</v>
      </c>
      <c r="N134" s="10">
        <f>H134*I134*L134+(J134)+(K134)</f>
        <v>2657.7777777777778</v>
      </c>
      <c r="O134" s="3">
        <f ca="1">($AA$17-E134)/365</f>
        <v>4.2958904109589042</v>
      </c>
      <c r="P134" s="12">
        <f>(N134-1000)/1000</f>
        <v>1.6577777777777778</v>
      </c>
      <c r="Q134" s="12">
        <f ca="1">(N134/1000)^(1/O134)-1</f>
        <v>0.25550866665534011</v>
      </c>
      <c r="R134" s="9" t="s">
        <v>327</v>
      </c>
    </row>
    <row r="135" spans="1:19" x14ac:dyDescent="0.25">
      <c r="A135" s="23">
        <f>A134+1000-603</f>
        <v>29829</v>
      </c>
      <c r="B135" t="s">
        <v>163</v>
      </c>
      <c r="C135" t="s">
        <v>326</v>
      </c>
      <c r="D135" t="s">
        <v>10</v>
      </c>
      <c r="E135" s="2">
        <v>40099</v>
      </c>
      <c r="F135" s="13">
        <f t="shared" ca="1" si="19"/>
        <v>41656.065753424657</v>
      </c>
      <c r="G135" s="3">
        <v>3.7</v>
      </c>
      <c r="H135" s="3">
        <f t="shared" si="22"/>
        <v>270.27027027027026</v>
      </c>
      <c r="I135" s="3">
        <v>1</v>
      </c>
      <c r="J135" s="3">
        <v>0</v>
      </c>
      <c r="K135" s="3">
        <v>0</v>
      </c>
      <c r="L135" s="3">
        <f>L145</f>
        <v>11.96</v>
      </c>
      <c r="M135" s="15">
        <v>-1000</v>
      </c>
      <c r="N135" s="10">
        <f>H135*I135*L135+(J135)+(K135)</f>
        <v>3232.4324324324325</v>
      </c>
      <c r="O135" s="3">
        <f ca="1">($AA$17-E135)/365</f>
        <v>4.2630136986301368</v>
      </c>
      <c r="P135" s="12">
        <f>(N135-1000)/1000</f>
        <v>2.2324324324324327</v>
      </c>
      <c r="Q135" s="12">
        <f ca="1">(N135/1000)^(1/O135)-1</f>
        <v>0.31681055117706669</v>
      </c>
      <c r="R135" s="9" t="s">
        <v>328</v>
      </c>
    </row>
    <row r="136" spans="1:19" x14ac:dyDescent="0.25">
      <c r="A136" s="23">
        <f>A135+1000-969</f>
        <v>29860</v>
      </c>
      <c r="B136" t="s">
        <v>165</v>
      </c>
      <c r="C136" t="s">
        <v>166</v>
      </c>
      <c r="D136" t="s">
        <v>10</v>
      </c>
      <c r="E136" s="2">
        <v>40105</v>
      </c>
      <c r="F136" s="13">
        <f t="shared" ca="1" si="19"/>
        <v>41656.061643835616</v>
      </c>
      <c r="G136" s="3">
        <v>5</v>
      </c>
      <c r="H136" s="3">
        <f t="shared" si="22"/>
        <v>200</v>
      </c>
      <c r="I136" s="3">
        <v>1</v>
      </c>
      <c r="J136" s="3">
        <v>0</v>
      </c>
      <c r="K136" s="3">
        <v>0</v>
      </c>
      <c r="L136" s="3">
        <v>0</v>
      </c>
      <c r="M136" s="15">
        <v>-1000</v>
      </c>
      <c r="N136" s="10">
        <v>0</v>
      </c>
      <c r="O136" s="3">
        <f ca="1">($AA$17-E136)/365</f>
        <v>4.2465753424657535</v>
      </c>
      <c r="P136" s="12">
        <f>(N136-1000)/1000</f>
        <v>-1</v>
      </c>
      <c r="Q136" s="12">
        <f ca="1">(N136/1000)^(1/O136)-1</f>
        <v>-1</v>
      </c>
      <c r="R136" s="9" t="s">
        <v>416</v>
      </c>
    </row>
    <row r="137" spans="1:19" x14ac:dyDescent="0.25">
      <c r="A137" s="23">
        <f t="shared" ref="A137:A143" si="34">A136+1000</f>
        <v>30860</v>
      </c>
      <c r="B137" t="s">
        <v>154</v>
      </c>
      <c r="C137" t="s">
        <v>317</v>
      </c>
      <c r="D137" t="s">
        <v>10</v>
      </c>
      <c r="E137" s="2">
        <v>40115</v>
      </c>
      <c r="F137" s="13">
        <f t="shared" si="19"/>
        <v>40186.048630136989</v>
      </c>
      <c r="G137" s="3">
        <v>5.99</v>
      </c>
      <c r="H137" s="3">
        <f t="shared" si="22"/>
        <v>166.9449081803005</v>
      </c>
      <c r="I137" s="3">
        <v>1</v>
      </c>
      <c r="J137" s="3">
        <v>0</v>
      </c>
      <c r="K137" s="3">
        <v>0</v>
      </c>
      <c r="L137" s="3">
        <v>10.94</v>
      </c>
      <c r="M137" s="15">
        <v>-1000</v>
      </c>
      <c r="N137" s="10">
        <f>H137*I137*L137+(J137)+(K137)</f>
        <v>1826.3772954924873</v>
      </c>
      <c r="O137" s="3">
        <f>(DATE(2010,1,8)-E137)/365</f>
        <v>0.19452054794520549</v>
      </c>
      <c r="P137" s="12">
        <f t="shared" ref="P137:P146" si="35">(N137-1000)/1000</f>
        <v>0.82637729549248728</v>
      </c>
      <c r="Q137" s="12">
        <f t="shared" ref="Q137:Q146" si="36">(N137/1000)^(1/O137)-1</f>
        <v>21.120565760138042</v>
      </c>
      <c r="R137" s="9" t="s">
        <v>329</v>
      </c>
      <c r="S137" t="s">
        <v>173</v>
      </c>
    </row>
    <row r="138" spans="1:19" x14ac:dyDescent="0.25">
      <c r="A138" s="23">
        <f t="shared" si="34"/>
        <v>31860</v>
      </c>
      <c r="B138" t="s">
        <v>163</v>
      </c>
      <c r="C138" t="s">
        <v>326</v>
      </c>
      <c r="D138" t="s">
        <v>10</v>
      </c>
      <c r="E138" s="2">
        <v>40115</v>
      </c>
      <c r="F138" s="13">
        <f t="shared" ca="1" si="19"/>
        <v>41656.054794520547</v>
      </c>
      <c r="G138" s="3">
        <v>3.16</v>
      </c>
      <c r="H138" s="3">
        <f t="shared" si="22"/>
        <v>316.45569620253161</v>
      </c>
      <c r="I138" s="3">
        <v>1</v>
      </c>
      <c r="J138" s="3">
        <v>0</v>
      </c>
      <c r="K138" s="3">
        <v>0</v>
      </c>
      <c r="L138" s="3">
        <f>L145</f>
        <v>11.96</v>
      </c>
      <c r="M138" s="15">
        <v>-1000</v>
      </c>
      <c r="N138" s="10">
        <f>H138*I138*L138+(J138)+(K138)</f>
        <v>3784.8101265822784</v>
      </c>
      <c r="O138" s="3">
        <f ca="1">($AA$17-E138)/365</f>
        <v>4.2191780821917808</v>
      </c>
      <c r="P138" s="12">
        <f t="shared" si="35"/>
        <v>2.7848101265822782</v>
      </c>
      <c r="Q138" s="12">
        <f t="shared" ca="1" si="36"/>
        <v>0.37089426013309734</v>
      </c>
      <c r="R138" s="9" t="s">
        <v>329</v>
      </c>
    </row>
    <row r="139" spans="1:19" x14ac:dyDescent="0.25">
      <c r="A139" s="23">
        <f t="shared" si="34"/>
        <v>32860</v>
      </c>
      <c r="B139" t="s">
        <v>168</v>
      </c>
      <c r="C139" t="s">
        <v>330</v>
      </c>
      <c r="D139" t="s">
        <v>10</v>
      </c>
      <c r="E139" s="2">
        <v>40115</v>
      </c>
      <c r="F139" s="13">
        <f t="shared" si="19"/>
        <v>40548.79691780822</v>
      </c>
      <c r="G139" s="3">
        <v>3.17</v>
      </c>
      <c r="H139" s="3">
        <f t="shared" si="22"/>
        <v>315.45741324921136</v>
      </c>
      <c r="I139" s="3">
        <v>1</v>
      </c>
      <c r="J139" s="3">
        <v>0</v>
      </c>
      <c r="K139" s="3">
        <v>0</v>
      </c>
      <c r="L139" s="3">
        <v>1.94</v>
      </c>
      <c r="M139" s="15">
        <v>-1000</v>
      </c>
      <c r="N139" s="10">
        <f>H139/2*2.17+H139/2*1.94</f>
        <v>648.26498422712928</v>
      </c>
      <c r="O139" s="3">
        <f>((DATE(2010,11,23)/2+DATE(2011,2,18)/2)-E139)/365</f>
        <v>1.1876712328767123</v>
      </c>
      <c r="P139" s="12">
        <f t="shared" si="35"/>
        <v>-0.35173501577287075</v>
      </c>
      <c r="Q139" s="12">
        <f t="shared" si="36"/>
        <v>-0.30577747853056936</v>
      </c>
      <c r="R139" s="9" t="s">
        <v>329</v>
      </c>
      <c r="S139" t="s">
        <v>200</v>
      </c>
    </row>
    <row r="140" spans="1:19" x14ac:dyDescent="0.25">
      <c r="A140" s="23">
        <f t="shared" si="34"/>
        <v>33860</v>
      </c>
      <c r="B140" t="s">
        <v>170</v>
      </c>
      <c r="C140" t="s">
        <v>308</v>
      </c>
      <c r="D140" t="s">
        <v>10</v>
      </c>
      <c r="E140" s="2">
        <v>40116</v>
      </c>
      <c r="F140" s="13">
        <f t="shared" si="19"/>
        <v>41629.035616438356</v>
      </c>
      <c r="G140" s="3">
        <v>102.53</v>
      </c>
      <c r="H140" s="3">
        <f t="shared" si="22"/>
        <v>9.7532429532819656</v>
      </c>
      <c r="I140" s="3">
        <v>1</v>
      </c>
      <c r="J140" s="3">
        <v>0</v>
      </c>
      <c r="K140" s="3">
        <v>0</v>
      </c>
      <c r="L140" s="3">
        <v>115.94</v>
      </c>
      <c r="M140" s="15">
        <v>-1000</v>
      </c>
      <c r="N140" s="10">
        <f>H140*I140*L140+(J140)+(K140)</f>
        <v>1130.7909880035111</v>
      </c>
      <c r="O140" s="3">
        <f>(DATE(2013,12,20)-E140)/365</f>
        <v>4.1424657534246574</v>
      </c>
      <c r="P140" s="12">
        <f t="shared" si="35"/>
        <v>0.13079098800351108</v>
      </c>
      <c r="Q140" s="12">
        <f t="shared" si="36"/>
        <v>3.011713080671119E-2</v>
      </c>
      <c r="R140" s="9" t="s">
        <v>331</v>
      </c>
      <c r="S140" t="s">
        <v>647</v>
      </c>
    </row>
    <row r="141" spans="1:19" x14ac:dyDescent="0.25">
      <c r="A141" s="23">
        <f t="shared" si="34"/>
        <v>34860</v>
      </c>
      <c r="B141" t="s">
        <v>169</v>
      </c>
      <c r="C141" t="s">
        <v>409</v>
      </c>
      <c r="D141" t="s">
        <v>10</v>
      </c>
      <c r="E141" s="2">
        <v>40119</v>
      </c>
      <c r="F141" s="13">
        <f t="shared" ca="1" si="19"/>
        <v>41656.05205479452</v>
      </c>
      <c r="G141" s="3">
        <v>2.9</v>
      </c>
      <c r="H141" s="3">
        <f t="shared" si="22"/>
        <v>344.82758620689657</v>
      </c>
      <c r="I141" s="3">
        <v>1</v>
      </c>
      <c r="J141" s="3">
        <v>0</v>
      </c>
      <c r="K141" s="3">
        <v>0</v>
      </c>
      <c r="L141" s="3">
        <f>'Data (ignore)'!B788</f>
        <v>2.2000000000000002</v>
      </c>
      <c r="M141" s="15">
        <v>-1000</v>
      </c>
      <c r="N141" s="10">
        <f>1000/G141*L141</f>
        <v>758.62068965517255</v>
      </c>
      <c r="O141" s="3">
        <f t="shared" ref="O141:O146" ca="1" si="37">($AA$17-E141)/365</f>
        <v>4.2082191780821914</v>
      </c>
      <c r="P141" s="12">
        <f t="shared" si="35"/>
        <v>-0.24137931034482746</v>
      </c>
      <c r="Q141" s="12">
        <f t="shared" ca="1" si="36"/>
        <v>-6.3537824792281983E-2</v>
      </c>
      <c r="R141" s="9" t="s">
        <v>410</v>
      </c>
    </row>
    <row r="142" spans="1:19" x14ac:dyDescent="0.25">
      <c r="A142" s="23">
        <f t="shared" si="34"/>
        <v>35860</v>
      </c>
      <c r="B142" t="s">
        <v>171</v>
      </c>
      <c r="C142" t="s">
        <v>332</v>
      </c>
      <c r="D142" t="s">
        <v>10</v>
      </c>
      <c r="E142" s="2">
        <v>40137</v>
      </c>
      <c r="F142" s="13">
        <f t="shared" ca="1" si="19"/>
        <v>41656.039726027397</v>
      </c>
      <c r="G142" s="3">
        <v>3</v>
      </c>
      <c r="H142" s="3">
        <f t="shared" si="22"/>
        <v>333.33333333333331</v>
      </c>
      <c r="I142" s="3">
        <v>1</v>
      </c>
      <c r="J142" s="3">
        <v>0</v>
      </c>
      <c r="K142" s="3">
        <v>0</v>
      </c>
      <c r="L142" s="3">
        <f>'Data (ignore)'!B804</f>
        <v>0.88</v>
      </c>
      <c r="M142" s="15">
        <v>-1000</v>
      </c>
      <c r="N142" s="10">
        <f t="shared" ref="N142:N149" si="38">H142*I142*L142+(J142)+(K142)</f>
        <v>293.33333333333331</v>
      </c>
      <c r="O142" s="3">
        <f t="shared" ca="1" si="37"/>
        <v>4.1589041095890407</v>
      </c>
      <c r="P142" s="12">
        <f t="shared" si="35"/>
        <v>-0.70666666666666678</v>
      </c>
      <c r="Q142" s="12">
        <f t="shared" ca="1" si="36"/>
        <v>-0.25539124110483757</v>
      </c>
      <c r="R142" s="9" t="s">
        <v>333</v>
      </c>
    </row>
    <row r="143" spans="1:19" x14ac:dyDescent="0.25">
      <c r="A143" s="23">
        <f t="shared" si="34"/>
        <v>36860</v>
      </c>
      <c r="B143" t="s">
        <v>172</v>
      </c>
      <c r="C143" t="s">
        <v>172</v>
      </c>
      <c r="D143" t="s">
        <v>10</v>
      </c>
      <c r="E143" s="2">
        <v>40150</v>
      </c>
      <c r="F143" s="13">
        <f t="shared" ca="1" si="19"/>
        <v>41656.030821917811</v>
      </c>
      <c r="G143" s="3">
        <v>2.1999999999999999E-2</v>
      </c>
      <c r="H143" s="3">
        <f t="shared" si="22"/>
        <v>45454.545454545456</v>
      </c>
      <c r="I143" s="3">
        <v>1</v>
      </c>
      <c r="J143" s="3">
        <v>0</v>
      </c>
      <c r="K143" s="3">
        <v>0</v>
      </c>
      <c r="L143" s="3">
        <v>0</v>
      </c>
      <c r="M143" s="15">
        <v>-1000</v>
      </c>
      <c r="N143" s="10">
        <f t="shared" si="38"/>
        <v>0</v>
      </c>
      <c r="O143" s="3">
        <f t="shared" ca="1" si="37"/>
        <v>4.1232876712328768</v>
      </c>
      <c r="P143" s="12">
        <f t="shared" si="35"/>
        <v>-1</v>
      </c>
      <c r="Q143" s="12">
        <f t="shared" ca="1" si="36"/>
        <v>-1</v>
      </c>
      <c r="R143" s="9" t="s">
        <v>334</v>
      </c>
    </row>
    <row r="144" spans="1:19" x14ac:dyDescent="0.25">
      <c r="A144" s="23">
        <f>A143+1000-1826</f>
        <v>36034</v>
      </c>
      <c r="B144" t="s">
        <v>174</v>
      </c>
      <c r="C144" t="s">
        <v>335</v>
      </c>
      <c r="D144" t="s">
        <v>10</v>
      </c>
      <c r="E144" s="2">
        <v>40199</v>
      </c>
      <c r="F144" s="13">
        <f t="shared" ca="1" si="19"/>
        <v>41655.997260273973</v>
      </c>
      <c r="G144" s="3">
        <v>5.19</v>
      </c>
      <c r="H144" s="3">
        <f t="shared" si="22"/>
        <v>192.67822736030828</v>
      </c>
      <c r="I144" s="3">
        <v>1</v>
      </c>
      <c r="J144" s="3">
        <v>0</v>
      </c>
      <c r="K144" s="3">
        <v>0</v>
      </c>
      <c r="L144" s="3">
        <f>L150</f>
        <v>0.3</v>
      </c>
      <c r="M144" s="15">
        <v>-1000</v>
      </c>
      <c r="N144" s="10">
        <f t="shared" si="38"/>
        <v>57.803468208092482</v>
      </c>
      <c r="O144" s="3">
        <f t="shared" ca="1" si="37"/>
        <v>3.989041095890411</v>
      </c>
      <c r="P144" s="12">
        <f t="shared" si="35"/>
        <v>-0.94219653179190754</v>
      </c>
      <c r="Q144" s="12">
        <f t="shared" ca="1" si="36"/>
        <v>-0.51062906960396326</v>
      </c>
      <c r="R144" s="9" t="s">
        <v>336</v>
      </c>
    </row>
    <row r="145" spans="1:19" x14ac:dyDescent="0.25">
      <c r="A145" s="23">
        <f>A144+1000-250</f>
        <v>36784</v>
      </c>
      <c r="B145" t="s">
        <v>163</v>
      </c>
      <c r="C145" t="s">
        <v>326</v>
      </c>
      <c r="D145" t="s">
        <v>10</v>
      </c>
      <c r="E145" s="2">
        <v>40231</v>
      </c>
      <c r="F145" s="13">
        <f t="shared" ca="1" si="19"/>
        <v>41655.975342465754</v>
      </c>
      <c r="G145" s="3">
        <v>2.4500000000000002</v>
      </c>
      <c r="H145" s="3">
        <f t="shared" si="22"/>
        <v>408.16326530612241</v>
      </c>
      <c r="I145" s="3">
        <v>1</v>
      </c>
      <c r="J145" s="3">
        <v>0</v>
      </c>
      <c r="K145" s="3">
        <v>0</v>
      </c>
      <c r="L145" s="3">
        <f>'Data (ignore)'!B772</f>
        <v>11.96</v>
      </c>
      <c r="M145" s="15">
        <v>-1000</v>
      </c>
      <c r="N145" s="10">
        <f t="shared" si="38"/>
        <v>4881.6326530612241</v>
      </c>
      <c r="O145" s="3">
        <f t="shared" ca="1" si="37"/>
        <v>3.9013698630136986</v>
      </c>
      <c r="P145" s="12">
        <f t="shared" si="35"/>
        <v>3.881632653061224</v>
      </c>
      <c r="Q145" s="12">
        <f t="shared" ca="1" si="36"/>
        <v>0.50138875902685998</v>
      </c>
      <c r="R145" s="9" t="s">
        <v>338</v>
      </c>
      <c r="S145" t="s">
        <v>197</v>
      </c>
    </row>
    <row r="146" spans="1:19" x14ac:dyDescent="0.25">
      <c r="A146" s="23">
        <f>A145+1000</f>
        <v>37784</v>
      </c>
      <c r="B146" t="s">
        <v>147</v>
      </c>
      <c r="C146" t="s">
        <v>309</v>
      </c>
      <c r="D146" t="s">
        <v>10</v>
      </c>
      <c r="E146" s="2">
        <v>40233</v>
      </c>
      <c r="F146" s="13">
        <f t="shared" ref="F146:F205" ca="1" si="39">E146+(365.25*O146)</f>
        <v>41655.97397260274</v>
      </c>
      <c r="G146" s="3">
        <v>4.29</v>
      </c>
      <c r="H146" s="3">
        <f t="shared" si="22"/>
        <v>233.10023310023311</v>
      </c>
      <c r="I146" s="3">
        <v>1</v>
      </c>
      <c r="J146" s="3">
        <f>H146*(0.017*5+0.021*6+0.25)</f>
        <v>107.45920745920746</v>
      </c>
      <c r="K146" s="3">
        <v>0</v>
      </c>
      <c r="L146" s="3">
        <f>L176</f>
        <v>8.99</v>
      </c>
      <c r="M146" s="15">
        <v>-1000</v>
      </c>
      <c r="N146" s="10">
        <f t="shared" si="38"/>
        <v>2203.030303030303</v>
      </c>
      <c r="O146" s="3">
        <f t="shared" ca="1" si="37"/>
        <v>3.8958904109589043</v>
      </c>
      <c r="P146" s="12">
        <f t="shared" si="35"/>
        <v>1.2030303030303029</v>
      </c>
      <c r="Q146" s="12">
        <f t="shared" ca="1" si="36"/>
        <v>0.22474801814308365</v>
      </c>
      <c r="R146" s="9" t="s">
        <v>339</v>
      </c>
    </row>
    <row r="147" spans="1:19" x14ac:dyDescent="0.25">
      <c r="A147" s="23">
        <f>A146+1000</f>
        <v>38784</v>
      </c>
      <c r="B147" t="s">
        <v>175</v>
      </c>
      <c r="C147" t="s">
        <v>341</v>
      </c>
      <c r="D147" t="s">
        <v>10</v>
      </c>
      <c r="E147" s="2">
        <v>40235</v>
      </c>
      <c r="F147" s="13">
        <f t="shared" si="39"/>
        <v>40399.112328767122</v>
      </c>
      <c r="G147" s="3">
        <v>2.62</v>
      </c>
      <c r="H147" s="3">
        <f t="shared" si="22"/>
        <v>381.67938931297709</v>
      </c>
      <c r="I147" s="3">
        <v>1</v>
      </c>
      <c r="J147" s="3">
        <v>0</v>
      </c>
      <c r="K147" s="3">
        <v>0</v>
      </c>
      <c r="L147" s="3">
        <v>6.41</v>
      </c>
      <c r="M147" s="15">
        <v>-1000</v>
      </c>
      <c r="N147" s="10">
        <f t="shared" si="38"/>
        <v>2446.5648854961833</v>
      </c>
      <c r="O147" s="3">
        <f>(DATE(2010,8,9)-E147)/365</f>
        <v>0.44931506849315067</v>
      </c>
      <c r="P147" s="12">
        <f t="shared" ref="P147:P153" si="40">(N147-1000)/1000</f>
        <v>1.4465648854961832</v>
      </c>
      <c r="Q147" s="12">
        <f t="shared" ref="Q147:Q153" si="41">(N147/1000)^(1/O147)-1</f>
        <v>6.3244609399955207</v>
      </c>
      <c r="R147" s="9" t="s">
        <v>340</v>
      </c>
      <c r="S147" t="s">
        <v>545</v>
      </c>
    </row>
    <row r="148" spans="1:19" x14ac:dyDescent="0.25">
      <c r="A148" s="23">
        <f>A147+1000</f>
        <v>39784</v>
      </c>
      <c r="B148" t="s">
        <v>176</v>
      </c>
      <c r="C148" t="s">
        <v>342</v>
      </c>
      <c r="D148" t="s">
        <v>10</v>
      </c>
      <c r="E148" s="2">
        <v>40247</v>
      </c>
      <c r="F148" s="13">
        <f t="shared" ca="1" si="39"/>
        <v>41655.964383561644</v>
      </c>
      <c r="G148" s="3">
        <v>10.3</v>
      </c>
      <c r="H148" s="3">
        <f t="shared" si="22"/>
        <v>97.087378640776691</v>
      </c>
      <c r="I148" s="3">
        <v>1</v>
      </c>
      <c r="J148" s="3">
        <f>H148*(0.06+0.06+0.06+0.08+0.09+0.1+0.12+0.12+0.13+0.14+0.14+0.15*3)</f>
        <v>150.48543689320388</v>
      </c>
      <c r="K148" s="3">
        <v>0</v>
      </c>
      <c r="L148" s="3">
        <f>'Data (ignore)'!B550</f>
        <v>14.75</v>
      </c>
      <c r="M148" s="15">
        <v>-1000</v>
      </c>
      <c r="N148" s="10">
        <f t="shared" si="38"/>
        <v>1582.5242718446602</v>
      </c>
      <c r="O148" s="3">
        <f ca="1">($AA$17-E148)/365</f>
        <v>3.8575342465753426</v>
      </c>
      <c r="P148" s="12">
        <f t="shared" si="40"/>
        <v>0.58252427184466027</v>
      </c>
      <c r="Q148" s="12">
        <f t="shared" ca="1" si="41"/>
        <v>0.1263625125830028</v>
      </c>
      <c r="R148" s="9" t="s">
        <v>343</v>
      </c>
    </row>
    <row r="149" spans="1:19" x14ac:dyDescent="0.25">
      <c r="A149" s="23">
        <f>A148+1000</f>
        <v>40784</v>
      </c>
      <c r="B149" t="s">
        <v>175</v>
      </c>
      <c r="C149" t="s">
        <v>341</v>
      </c>
      <c r="D149" t="s">
        <v>10</v>
      </c>
      <c r="E149" s="2">
        <v>40324</v>
      </c>
      <c r="F149" s="13">
        <f t="shared" si="39"/>
        <v>41527.823972602739</v>
      </c>
      <c r="G149" s="3">
        <v>4.09</v>
      </c>
      <c r="H149" s="3">
        <f t="shared" si="22"/>
        <v>244.49877750611248</v>
      </c>
      <c r="I149" s="3">
        <v>1</v>
      </c>
      <c r="J149" s="3">
        <v>0</v>
      </c>
      <c r="K149" s="3">
        <v>0</v>
      </c>
      <c r="L149" s="3">
        <v>11.74</v>
      </c>
      <c r="M149" s="15">
        <v>-1000</v>
      </c>
      <c r="N149" s="10">
        <f t="shared" si="38"/>
        <v>2870.4156479217604</v>
      </c>
      <c r="O149" s="3">
        <f>(DATE(2013,9,10)-E149)/365</f>
        <v>3.2958904109589042</v>
      </c>
      <c r="P149" s="12">
        <f t="shared" si="40"/>
        <v>1.8704156479217604</v>
      </c>
      <c r="Q149" s="12">
        <f t="shared" si="41"/>
        <v>0.37703246556826797</v>
      </c>
      <c r="R149" s="9" t="s">
        <v>344</v>
      </c>
      <c r="S149" t="s">
        <v>546</v>
      </c>
    </row>
    <row r="150" spans="1:19" x14ac:dyDescent="0.25">
      <c r="A150" s="23">
        <f>A149+1000</f>
        <v>41784</v>
      </c>
      <c r="B150" t="s">
        <v>174</v>
      </c>
      <c r="C150" t="s">
        <v>335</v>
      </c>
      <c r="D150" t="s">
        <v>10</v>
      </c>
      <c r="E150" s="2">
        <v>40339</v>
      </c>
      <c r="F150" s="13">
        <f t="shared" ca="1" si="39"/>
        <v>41151.055821917806</v>
      </c>
      <c r="G150" s="3">
        <v>9.1999999999999993</v>
      </c>
      <c r="H150" s="3">
        <f t="shared" si="22"/>
        <v>108.69565217391305</v>
      </c>
      <c r="I150" s="3">
        <v>1</v>
      </c>
      <c r="J150" s="3">
        <v>0</v>
      </c>
      <c r="K150" s="3">
        <v>0</v>
      </c>
      <c r="L150" s="3">
        <f>'Data (ignore)'!B820</f>
        <v>0.3</v>
      </c>
      <c r="M150" s="15">
        <v>-1000</v>
      </c>
      <c r="N150" s="10">
        <f>H150/2*8.63+H150/2*L150</f>
        <v>485.32608695652181</v>
      </c>
      <c r="O150" s="3">
        <f ca="1">($AA$17/2+DATE(2011,4,13)/2-E150)/365</f>
        <v>2.2232876712328768</v>
      </c>
      <c r="P150" s="12">
        <f t="shared" si="40"/>
        <v>-0.5146739130434782</v>
      </c>
      <c r="Q150" s="12">
        <f t="shared" ca="1" si="41"/>
        <v>-0.27759150719898706</v>
      </c>
      <c r="R150" s="9" t="s">
        <v>337</v>
      </c>
      <c r="S150" t="s">
        <v>203</v>
      </c>
    </row>
    <row r="151" spans="1:19" x14ac:dyDescent="0.25">
      <c r="A151" s="23">
        <f>A150+1000-1100-2446</f>
        <v>39238</v>
      </c>
      <c r="B151" t="s">
        <v>82</v>
      </c>
      <c r="C151" t="s">
        <v>83</v>
      </c>
      <c r="D151" t="s">
        <v>10</v>
      </c>
      <c r="E151" s="2">
        <v>40401</v>
      </c>
      <c r="F151" s="13">
        <f t="shared" ca="1" si="39"/>
        <v>41655.858904109591</v>
      </c>
      <c r="G151" s="3">
        <v>1.28</v>
      </c>
      <c r="H151" s="3">
        <f t="shared" si="22"/>
        <v>781.25</v>
      </c>
      <c r="I151" s="3">
        <v>1</v>
      </c>
      <c r="J151" s="3">
        <v>0</v>
      </c>
      <c r="K151" s="3">
        <v>0</v>
      </c>
      <c r="L151" s="3">
        <f>'Data (ignore)'!B836</f>
        <v>0.2</v>
      </c>
      <c r="M151" s="15">
        <v>-1000</v>
      </c>
      <c r="N151" s="10">
        <f>H151*I151*L151+(J151)+(K151)</f>
        <v>156.25</v>
      </c>
      <c r="O151" s="3">
        <f ca="1">($AA$17-E151)/365</f>
        <v>3.4356164383561643</v>
      </c>
      <c r="P151" s="12">
        <f t="shared" si="40"/>
        <v>-0.84375</v>
      </c>
      <c r="Q151" s="12">
        <f t="shared" ca="1" si="41"/>
        <v>-0.41743238388943726</v>
      </c>
      <c r="R151" s="9" t="s">
        <v>345</v>
      </c>
    </row>
    <row r="152" spans="1:19" x14ac:dyDescent="0.25">
      <c r="A152" s="23">
        <f>A151+1000</f>
        <v>40238</v>
      </c>
      <c r="B152" t="s">
        <v>180</v>
      </c>
      <c r="C152" t="s">
        <v>348</v>
      </c>
      <c r="D152" t="s">
        <v>10</v>
      </c>
      <c r="E152" s="2">
        <v>40430</v>
      </c>
      <c r="F152" s="13">
        <f t="shared" si="39"/>
        <v>40583.10479452055</v>
      </c>
      <c r="G152" s="3">
        <v>9.9</v>
      </c>
      <c r="H152" s="3">
        <f t="shared" si="22"/>
        <v>101.01010101010101</v>
      </c>
      <c r="I152" s="3">
        <v>1</v>
      </c>
      <c r="J152" s="3">
        <f>H152/3*0.14+H152*2/3*0.07</f>
        <v>9.4276094276094273</v>
      </c>
      <c r="K152" s="3">
        <v>0</v>
      </c>
      <c r="L152" s="3">
        <v>10.19</v>
      </c>
      <c r="M152" s="15">
        <v>-1000</v>
      </c>
      <c r="N152" s="10">
        <f>H152/3*10.26+H152*2/3*L152+J152</f>
        <v>1041.0774410774411</v>
      </c>
      <c r="O152" s="3">
        <f>(DATE(2011,2,9)-E152)/365</f>
        <v>0.41917808219178082</v>
      </c>
      <c r="P152" s="12">
        <f t="shared" si="40"/>
        <v>4.1077441077441108E-2</v>
      </c>
      <c r="Q152" s="12">
        <f t="shared" si="41"/>
        <v>0.1007986699985941</v>
      </c>
      <c r="R152" s="9" t="s">
        <v>347</v>
      </c>
      <c r="S152" t="s">
        <v>198</v>
      </c>
    </row>
    <row r="153" spans="1:19" x14ac:dyDescent="0.25">
      <c r="A153" s="23">
        <f>A152+1000</f>
        <v>41238</v>
      </c>
      <c r="B153" t="s">
        <v>183</v>
      </c>
      <c r="C153" t="s">
        <v>349</v>
      </c>
      <c r="D153" t="s">
        <v>10</v>
      </c>
      <c r="E153" s="2">
        <v>40431</v>
      </c>
      <c r="F153" s="13">
        <f t="shared" si="39"/>
        <v>40549.080821917807</v>
      </c>
      <c r="G153" s="3">
        <v>8</v>
      </c>
      <c r="H153" s="3">
        <f t="shared" si="22"/>
        <v>125</v>
      </c>
      <c r="I153" s="3">
        <v>1</v>
      </c>
      <c r="J153" s="3">
        <v>0</v>
      </c>
      <c r="K153" s="3">
        <v>0</v>
      </c>
      <c r="L153" s="3">
        <v>16.91</v>
      </c>
      <c r="M153" s="15">
        <v>-1000</v>
      </c>
      <c r="N153" s="10">
        <f>H153/2*8.15+H153/4*12.19+H153/4*16.91</f>
        <v>1418.75</v>
      </c>
      <c r="O153" s="3">
        <f>(DATE(2011,1,6)-E153)/365</f>
        <v>0.32328767123287672</v>
      </c>
      <c r="P153" s="12">
        <f t="shared" si="40"/>
        <v>0.41875000000000001</v>
      </c>
      <c r="Q153" s="12">
        <f t="shared" si="41"/>
        <v>1.9503826177823278</v>
      </c>
      <c r="R153" s="9" t="s">
        <v>350</v>
      </c>
      <c r="S153" t="s">
        <v>192</v>
      </c>
    </row>
    <row r="154" spans="1:19" x14ac:dyDescent="0.25">
      <c r="A154" s="23">
        <f>A153+1000</f>
        <v>42238</v>
      </c>
      <c r="B154" t="s">
        <v>181</v>
      </c>
      <c r="C154" t="s">
        <v>181</v>
      </c>
      <c r="D154" t="s">
        <v>10</v>
      </c>
      <c r="E154" s="2">
        <v>40431</v>
      </c>
      <c r="F154" s="13">
        <f t="shared" si="39"/>
        <v>40456.017123287675</v>
      </c>
      <c r="G154" s="3">
        <v>6.15</v>
      </c>
      <c r="H154" s="3">
        <f t="shared" si="22"/>
        <v>162.60162601626016</v>
      </c>
      <c r="I154" s="3">
        <v>1</v>
      </c>
      <c r="J154" s="3">
        <v>0</v>
      </c>
      <c r="K154" s="3">
        <v>0</v>
      </c>
      <c r="L154" s="3">
        <v>7.7</v>
      </c>
      <c r="M154" s="15">
        <v>-1000</v>
      </c>
      <c r="N154" s="10">
        <f>1000/G154*L154+K154</f>
        <v>1252.0325203252032</v>
      </c>
      <c r="O154" s="3">
        <f>(DATE(2010,10,5)-E154)/365</f>
        <v>6.8493150684931503E-2</v>
      </c>
      <c r="P154" s="12">
        <f>(N154-1000)/1000</f>
        <v>0.25203252032520324</v>
      </c>
      <c r="Q154" s="12">
        <f>(N154/1000)^(1/O154)-1</f>
        <v>25.618764696543426</v>
      </c>
      <c r="R154" s="9" t="s">
        <v>350</v>
      </c>
      <c r="S154" t="s">
        <v>182</v>
      </c>
    </row>
    <row r="155" spans="1:19" x14ac:dyDescent="0.25">
      <c r="A155" s="23">
        <f>A154+1000</f>
        <v>43238</v>
      </c>
      <c r="B155" t="s">
        <v>147</v>
      </c>
      <c r="C155" t="s">
        <v>309</v>
      </c>
      <c r="D155" t="s">
        <v>10</v>
      </c>
      <c r="E155" s="2">
        <v>40434</v>
      </c>
      <c r="F155" s="13">
        <f t="shared" ca="1" si="39"/>
        <v>41655.836301369862</v>
      </c>
      <c r="G155" s="3">
        <v>5.21</v>
      </c>
      <c r="H155" s="3">
        <f t="shared" si="22"/>
        <v>191.93857965451056</v>
      </c>
      <c r="I155" s="3">
        <v>1</v>
      </c>
      <c r="J155" s="3">
        <f>H155*(0.017*2+0.021*6+0.25)</f>
        <v>78.694817658349336</v>
      </c>
      <c r="K155" s="3">
        <v>0</v>
      </c>
      <c r="L155" s="3">
        <f>L176</f>
        <v>8.99</v>
      </c>
      <c r="M155" s="15">
        <v>-1000</v>
      </c>
      <c r="N155" s="10">
        <f>1000/G155*L155+K155</f>
        <v>1725.52783109405</v>
      </c>
      <c r="O155" s="3">
        <f ca="1">($AA$17-E155)/365</f>
        <v>3.3452054794520549</v>
      </c>
      <c r="P155" s="12">
        <f>(N155-1000)/1000</f>
        <v>0.72552783109405006</v>
      </c>
      <c r="Q155" s="12">
        <f ca="1">(N155/1000)^(1/O155)-1</f>
        <v>0.17712975960768773</v>
      </c>
      <c r="R155" s="9" t="s">
        <v>437</v>
      </c>
    </row>
    <row r="156" spans="1:19" x14ac:dyDescent="0.25">
      <c r="A156" s="23">
        <f>A155+1000-1252</f>
        <v>42986</v>
      </c>
      <c r="B156" t="s">
        <v>184</v>
      </c>
      <c r="C156" t="s">
        <v>351</v>
      </c>
      <c r="D156" t="s">
        <v>10</v>
      </c>
      <c r="E156" s="2">
        <v>40485</v>
      </c>
      <c r="F156" s="13">
        <f t="shared" si="39"/>
        <v>40890.277397260274</v>
      </c>
      <c r="G156" s="3">
        <v>1</v>
      </c>
      <c r="H156" s="3">
        <f t="shared" si="22"/>
        <v>1000</v>
      </c>
      <c r="I156" s="3">
        <v>1</v>
      </c>
      <c r="J156" s="3">
        <v>0</v>
      </c>
      <c r="K156" s="3">
        <v>0</v>
      </c>
      <c r="L156" s="3">
        <v>0.78</v>
      </c>
      <c r="M156" s="15">
        <v>-1000</v>
      </c>
      <c r="N156" s="10">
        <f t="shared" ref="N156:N161" si="42">H156*I156*L156+(J156)+(K156)</f>
        <v>780</v>
      </c>
      <c r="O156" s="3">
        <f>(DATE(2011,12,13)-E156)/365</f>
        <v>1.1095890410958904</v>
      </c>
      <c r="P156" s="12">
        <f t="shared" ref="P156:P163" si="43">(N156-1000)/1000</f>
        <v>-0.22</v>
      </c>
      <c r="Q156" s="12">
        <f t="shared" ref="Q156:Q163" si="44">(N156/1000)^(1/O156)-1</f>
        <v>-0.20062248926990089</v>
      </c>
      <c r="R156" s="9" t="s">
        <v>346</v>
      </c>
      <c r="S156" t="s">
        <v>218</v>
      </c>
    </row>
    <row r="157" spans="1:19" x14ac:dyDescent="0.25">
      <c r="A157" s="23">
        <f t="shared" ref="A157:A163" si="45">A156+1000</f>
        <v>43986</v>
      </c>
      <c r="B157" t="s">
        <v>185</v>
      </c>
      <c r="C157" t="s">
        <v>352</v>
      </c>
      <c r="D157" t="s">
        <v>10</v>
      </c>
      <c r="E157" s="2">
        <v>40485</v>
      </c>
      <c r="F157" s="13">
        <f t="shared" si="39"/>
        <v>40974.334931506848</v>
      </c>
      <c r="G157" s="3">
        <v>5.26</v>
      </c>
      <c r="H157" s="3">
        <f t="shared" si="22"/>
        <v>190.11406844106466</v>
      </c>
      <c r="I157" s="3">
        <v>1</v>
      </c>
      <c r="J157" s="3">
        <v>0</v>
      </c>
      <c r="K157" s="3">
        <v>0</v>
      </c>
      <c r="L157" s="3">
        <v>4.3499999999999996</v>
      </c>
      <c r="M157" s="15">
        <v>-1000</v>
      </c>
      <c r="N157" s="10">
        <f t="shared" si="42"/>
        <v>826.99619771863115</v>
      </c>
      <c r="O157" s="3">
        <f>(DATE(2012,3,6)-E157)/365</f>
        <v>1.3397260273972602</v>
      </c>
      <c r="P157" s="12">
        <f t="shared" si="43"/>
        <v>-0.17300380228136886</v>
      </c>
      <c r="Q157" s="12">
        <f t="shared" si="44"/>
        <v>-0.13219356255896608</v>
      </c>
      <c r="R157" s="9" t="s">
        <v>346</v>
      </c>
      <c r="S157" t="s">
        <v>223</v>
      </c>
    </row>
    <row r="158" spans="1:19" x14ac:dyDescent="0.25">
      <c r="A158" s="23">
        <f t="shared" si="45"/>
        <v>44986</v>
      </c>
      <c r="B158" t="s">
        <v>186</v>
      </c>
      <c r="C158" t="s">
        <v>353</v>
      </c>
      <c r="D158" t="s">
        <v>10</v>
      </c>
      <c r="E158" s="2">
        <v>40485</v>
      </c>
      <c r="F158" s="13">
        <f t="shared" si="39"/>
        <v>41498.693835616439</v>
      </c>
      <c r="G158" s="3">
        <v>6.51</v>
      </c>
      <c r="H158" s="3">
        <f t="shared" si="22"/>
        <v>153.60983102918587</v>
      </c>
      <c r="I158" s="3">
        <v>1</v>
      </c>
      <c r="J158" s="3">
        <v>0</v>
      </c>
      <c r="K158" s="3">
        <v>0</v>
      </c>
      <c r="L158" s="3">
        <v>23.51</v>
      </c>
      <c r="M158" s="15">
        <v>-1000</v>
      </c>
      <c r="N158" s="10">
        <f>H158*L158+(J158)+(K158)</f>
        <v>3611.3671274961598</v>
      </c>
      <c r="O158" s="3">
        <f>((DATE(2013,8,12))-E158)/365</f>
        <v>2.7753424657534245</v>
      </c>
      <c r="P158" s="12">
        <f t="shared" si="43"/>
        <v>2.6113671274961598</v>
      </c>
      <c r="Q158" s="12">
        <f t="shared" si="44"/>
        <v>0.58831982023848761</v>
      </c>
      <c r="R158" s="9" t="s">
        <v>346</v>
      </c>
      <c r="S158" t="s">
        <v>544</v>
      </c>
    </row>
    <row r="159" spans="1:19" x14ac:dyDescent="0.25">
      <c r="A159" s="23">
        <f t="shared" si="45"/>
        <v>45986</v>
      </c>
      <c r="B159" t="s">
        <v>82</v>
      </c>
      <c r="C159" t="s">
        <v>83</v>
      </c>
      <c r="D159" t="s">
        <v>10</v>
      </c>
      <c r="E159" s="2">
        <v>40485</v>
      </c>
      <c r="F159" s="13">
        <f t="shared" si="39"/>
        <v>40865.260273972606</v>
      </c>
      <c r="G159" s="3">
        <v>1.75</v>
      </c>
      <c r="H159" s="3">
        <f t="shared" si="22"/>
        <v>571.42857142857144</v>
      </c>
      <c r="I159" s="3">
        <v>1</v>
      </c>
      <c r="J159" s="3">
        <v>0</v>
      </c>
      <c r="K159" s="3">
        <v>0</v>
      </c>
      <c r="L159" s="3">
        <v>0.19</v>
      </c>
      <c r="M159" s="15">
        <v>-1000</v>
      </c>
      <c r="N159" s="10">
        <f t="shared" si="42"/>
        <v>108.57142857142857</v>
      </c>
      <c r="O159" s="3">
        <f>(DATE(2011,11,18)-E159)/365</f>
        <v>1.0410958904109588</v>
      </c>
      <c r="P159" s="12">
        <f t="shared" si="43"/>
        <v>-0.89142857142857146</v>
      </c>
      <c r="Q159" s="12">
        <f t="shared" si="44"/>
        <v>-0.88148333775726684</v>
      </c>
      <c r="R159" s="9" t="s">
        <v>346</v>
      </c>
      <c r="S159" t="s">
        <v>217</v>
      </c>
    </row>
    <row r="160" spans="1:19" x14ac:dyDescent="0.25">
      <c r="A160" s="23">
        <f t="shared" si="45"/>
        <v>46986</v>
      </c>
      <c r="B160" t="s">
        <v>187</v>
      </c>
      <c r="C160" t="s">
        <v>354</v>
      </c>
      <c r="D160" t="s">
        <v>10</v>
      </c>
      <c r="E160" s="2">
        <v>40485</v>
      </c>
      <c r="F160" s="13">
        <f t="shared" si="39"/>
        <v>41354.595205479454</v>
      </c>
      <c r="G160" s="3">
        <v>7.46</v>
      </c>
      <c r="H160" s="3">
        <f t="shared" si="22"/>
        <v>134.04825737265415</v>
      </c>
      <c r="I160" s="3">
        <v>1</v>
      </c>
      <c r="J160" s="3">
        <v>0</v>
      </c>
      <c r="K160" s="3">
        <v>0</v>
      </c>
      <c r="L160" s="3">
        <v>11.14</v>
      </c>
      <c r="M160" s="15">
        <v>-1000</v>
      </c>
      <c r="N160" s="10">
        <f t="shared" si="42"/>
        <v>1493.2975871313672</v>
      </c>
      <c r="O160" s="3">
        <f>(DATE(2013,3,21)-E160)/365</f>
        <v>2.3808219178082193</v>
      </c>
      <c r="P160" s="12">
        <f t="shared" si="43"/>
        <v>0.49329758713136723</v>
      </c>
      <c r="Q160" s="12">
        <f t="shared" si="44"/>
        <v>0.18343791905600115</v>
      </c>
      <c r="R160" s="9" t="s">
        <v>346</v>
      </c>
      <c r="S160" t="s">
        <v>490</v>
      </c>
    </row>
    <row r="161" spans="1:19" x14ac:dyDescent="0.25">
      <c r="A161" s="23">
        <f t="shared" si="45"/>
        <v>47986</v>
      </c>
      <c r="B161" t="s">
        <v>188</v>
      </c>
      <c r="C161" t="s">
        <v>355</v>
      </c>
      <c r="D161" t="s">
        <v>10</v>
      </c>
      <c r="E161" s="2">
        <v>40485</v>
      </c>
      <c r="F161" s="13">
        <f t="shared" si="39"/>
        <v>40939.310958904112</v>
      </c>
      <c r="G161" s="3">
        <v>7.07</v>
      </c>
      <c r="H161" s="3">
        <f t="shared" si="22"/>
        <v>141.44271570014143</v>
      </c>
      <c r="I161" s="3">
        <v>1</v>
      </c>
      <c r="J161" s="3">
        <v>0</v>
      </c>
      <c r="K161" s="3">
        <v>0</v>
      </c>
      <c r="L161" s="3">
        <v>11.93</v>
      </c>
      <c r="M161" s="15">
        <v>-1000</v>
      </c>
      <c r="N161" s="10">
        <f t="shared" si="42"/>
        <v>1687.4115983026873</v>
      </c>
      <c r="O161" s="3">
        <f>(DATE(2012,1,31)-E161)/365</f>
        <v>1.2438356164383562</v>
      </c>
      <c r="P161" s="12">
        <f t="shared" si="43"/>
        <v>0.68741159830268728</v>
      </c>
      <c r="Q161" s="12">
        <f t="shared" si="44"/>
        <v>0.52292213930964349</v>
      </c>
      <c r="R161" s="9" t="s">
        <v>346</v>
      </c>
      <c r="S161" t="s">
        <v>220</v>
      </c>
    </row>
    <row r="162" spans="1:19" x14ac:dyDescent="0.25">
      <c r="A162" s="23">
        <f t="shared" si="45"/>
        <v>48986</v>
      </c>
      <c r="B162" t="s">
        <v>189</v>
      </c>
      <c r="C162" t="s">
        <v>356</v>
      </c>
      <c r="D162" t="s">
        <v>10</v>
      </c>
      <c r="E162" s="2">
        <v>40485</v>
      </c>
      <c r="F162" s="13">
        <f t="shared" si="39"/>
        <v>40939.310958904112</v>
      </c>
      <c r="G162" s="3">
        <v>2.75</v>
      </c>
      <c r="H162" s="3">
        <f t="shared" si="22"/>
        <v>363.63636363636363</v>
      </c>
      <c r="I162" s="3">
        <v>1</v>
      </c>
      <c r="J162" s="3">
        <v>0</v>
      </c>
      <c r="K162" s="3">
        <v>0</v>
      </c>
      <c r="L162" s="3">
        <v>2.67</v>
      </c>
      <c r="M162" s="15">
        <v>-1000</v>
      </c>
      <c r="N162" s="10">
        <f>1000/G162*L162</f>
        <v>970.90909090909088</v>
      </c>
      <c r="O162" s="3">
        <f>(DATE(2012,1,31)-E162)/365</f>
        <v>1.2438356164383562</v>
      </c>
      <c r="P162" s="12">
        <f t="shared" si="43"/>
        <v>-2.9090909090909122E-2</v>
      </c>
      <c r="Q162" s="12">
        <f t="shared" si="44"/>
        <v>-2.3455540960715893E-2</v>
      </c>
      <c r="R162" s="9" t="s">
        <v>346</v>
      </c>
      <c r="S162" t="s">
        <v>219</v>
      </c>
    </row>
    <row r="163" spans="1:19" x14ac:dyDescent="0.25">
      <c r="A163" s="23">
        <f t="shared" si="45"/>
        <v>49986</v>
      </c>
      <c r="B163" t="s">
        <v>190</v>
      </c>
      <c r="C163" t="s">
        <v>413</v>
      </c>
      <c r="D163" t="s">
        <v>10</v>
      </c>
      <c r="E163" s="2">
        <v>40492</v>
      </c>
      <c r="F163" s="13">
        <f t="shared" si="39"/>
        <v>40994.343835616441</v>
      </c>
      <c r="G163" s="3">
        <v>4.5999999999999996</v>
      </c>
      <c r="H163" s="3">
        <f t="shared" si="22"/>
        <v>217.39130434782609</v>
      </c>
      <c r="I163" s="3">
        <v>1</v>
      </c>
      <c r="J163" s="3">
        <v>0</v>
      </c>
      <c r="K163" s="3">
        <v>0</v>
      </c>
      <c r="L163" s="3">
        <v>0.8</v>
      </c>
      <c r="M163" s="15">
        <v>-1000</v>
      </c>
      <c r="N163" s="10">
        <f>1000/G163*L163</f>
        <v>173.91304347826087</v>
      </c>
      <c r="O163" s="3">
        <f>(DATE(2012,3,26)-E163)/365</f>
        <v>1.3753424657534246</v>
      </c>
      <c r="P163" s="12">
        <f t="shared" si="43"/>
        <v>-0.82608695652173914</v>
      </c>
      <c r="Q163" s="12">
        <f t="shared" si="44"/>
        <v>-0.71968143199925549</v>
      </c>
      <c r="R163" s="9" t="s">
        <v>414</v>
      </c>
      <c r="S163" t="s">
        <v>415</v>
      </c>
    </row>
    <row r="164" spans="1:19" x14ac:dyDescent="0.25">
      <c r="A164" s="23">
        <f>A163+1000-2074</f>
        <v>48912</v>
      </c>
      <c r="B164" t="s">
        <v>191</v>
      </c>
      <c r="C164" t="s">
        <v>357</v>
      </c>
      <c r="D164" t="s">
        <v>10</v>
      </c>
      <c r="E164" s="2">
        <v>40527</v>
      </c>
      <c r="F164" s="13">
        <f t="shared" si="39"/>
        <v>41256.49931506849</v>
      </c>
      <c r="G164" s="3">
        <v>1.76</v>
      </c>
      <c r="H164" s="3">
        <f t="shared" si="22"/>
        <v>568.18181818181813</v>
      </c>
      <c r="I164" s="3">
        <v>1</v>
      </c>
      <c r="J164" s="3">
        <v>0</v>
      </c>
      <c r="K164" s="3">
        <v>0</v>
      </c>
      <c r="L164" s="3">
        <v>2.88</v>
      </c>
      <c r="M164" s="15">
        <v>-1000</v>
      </c>
      <c r="N164" s="10">
        <f>1000/G164*L164</f>
        <v>1636.3636363636363</v>
      </c>
      <c r="O164" s="3">
        <f>(DATE(2012,12,13)-E164)/365</f>
        <v>1.9972602739726026</v>
      </c>
      <c r="P164" s="12">
        <f t="shared" ref="P164:P171" si="46">(N164-1000)/1000</f>
        <v>0.63636363636363624</v>
      </c>
      <c r="Q164" s="12">
        <f t="shared" ref="Q164:Q171" si="47">(N164/1000)^(1/O164)-1</f>
        <v>0.27963645481677535</v>
      </c>
      <c r="R164" s="9" t="s">
        <v>358</v>
      </c>
      <c r="S164" t="s">
        <v>491</v>
      </c>
    </row>
    <row r="165" spans="1:19" x14ac:dyDescent="0.25">
      <c r="A165" s="23">
        <f>A164+1000-1419</f>
        <v>48493</v>
      </c>
      <c r="B165" t="s">
        <v>193</v>
      </c>
      <c r="C165" t="s">
        <v>359</v>
      </c>
      <c r="D165" t="s">
        <v>10</v>
      </c>
      <c r="E165" s="2">
        <v>40556</v>
      </c>
      <c r="F165" s="13">
        <f t="shared" ca="1" si="39"/>
        <v>41655.752739726027</v>
      </c>
      <c r="G165" s="3">
        <v>10.84</v>
      </c>
      <c r="H165" s="3">
        <f t="shared" si="22"/>
        <v>92.250922509225092</v>
      </c>
      <c r="I165" s="3">
        <v>1</v>
      </c>
      <c r="J165" s="3">
        <f>H165*(0.039+0.134)</f>
        <v>15.959409594095943</v>
      </c>
      <c r="K165" s="3">
        <v>0</v>
      </c>
      <c r="L165" s="3">
        <v>16.89</v>
      </c>
      <c r="M165" s="15">
        <v>-1000</v>
      </c>
      <c r="N165" s="10">
        <f>H165*I165*L165+(J165)+(K165)</f>
        <v>1574.0774907749078</v>
      </c>
      <c r="O165" s="3">
        <f t="shared" ref="O165:O170" ca="1" si="48">($AA$17-E165)/365</f>
        <v>3.010958904109589</v>
      </c>
      <c r="P165" s="12">
        <f t="shared" si="46"/>
        <v>0.57407749077490777</v>
      </c>
      <c r="Q165" s="12">
        <f t="shared" ca="1" si="47"/>
        <v>0.16261609969623558</v>
      </c>
      <c r="R165" s="9" t="s">
        <v>360</v>
      </c>
    </row>
    <row r="166" spans="1:19" x14ac:dyDescent="0.25">
      <c r="A166" s="23">
        <f>A165+1000</f>
        <v>49493</v>
      </c>
      <c r="B166" t="s">
        <v>194</v>
      </c>
      <c r="C166" t="s">
        <v>361</v>
      </c>
      <c r="D166" t="s">
        <v>10</v>
      </c>
      <c r="E166" s="2">
        <v>40556</v>
      </c>
      <c r="F166" s="13">
        <f t="shared" ca="1" si="39"/>
        <v>41655.752739726027</v>
      </c>
      <c r="G166" s="3">
        <v>10.76</v>
      </c>
      <c r="H166" s="3">
        <f t="shared" ref="H166:H212" si="49">1000/G166</f>
        <v>92.936802973977692</v>
      </c>
      <c r="I166" s="3">
        <v>1</v>
      </c>
      <c r="J166" s="3">
        <f>H166*(0.224+0.333)</f>
        <v>51.765799256505581</v>
      </c>
      <c r="K166" s="3">
        <v>0</v>
      </c>
      <c r="L166" s="3">
        <v>17.71</v>
      </c>
      <c r="M166" s="15">
        <v>-1000</v>
      </c>
      <c r="N166" s="10">
        <f>H166*I166*L166+(J166)+(K166)</f>
        <v>1697.6765799256505</v>
      </c>
      <c r="O166" s="3">
        <f t="shared" ca="1" si="48"/>
        <v>3.010958904109589</v>
      </c>
      <c r="P166" s="12">
        <f t="shared" si="46"/>
        <v>0.69767657992565046</v>
      </c>
      <c r="Q166" s="12">
        <f t="shared" ca="1" si="47"/>
        <v>0.19217347143741015</v>
      </c>
      <c r="R166" s="9" t="s">
        <v>360</v>
      </c>
    </row>
    <row r="167" spans="1:19" x14ac:dyDescent="0.25">
      <c r="A167" s="23">
        <f>A166+1000</f>
        <v>50493</v>
      </c>
      <c r="B167" t="s">
        <v>195</v>
      </c>
      <c r="C167" t="s">
        <v>362</v>
      </c>
      <c r="D167" t="s">
        <v>10</v>
      </c>
      <c r="E167" s="2">
        <v>40556</v>
      </c>
      <c r="F167" s="13">
        <f t="shared" ca="1" si="39"/>
        <v>41655.752739726027</v>
      </c>
      <c r="G167" s="3">
        <v>10.32</v>
      </c>
      <c r="H167" s="3">
        <f t="shared" si="49"/>
        <v>96.899224806201545</v>
      </c>
      <c r="I167" s="3">
        <v>1</v>
      </c>
      <c r="J167" s="3">
        <f>H167*(0.17+0.182)</f>
        <v>34.108527131782942</v>
      </c>
      <c r="K167" s="3">
        <v>0</v>
      </c>
      <c r="L167" s="3">
        <v>11.49</v>
      </c>
      <c r="M167" s="15">
        <v>-1000</v>
      </c>
      <c r="N167" s="10">
        <f>H167*I167*L167+(J167)+(K167)</f>
        <v>1147.4806201550387</v>
      </c>
      <c r="O167" s="3">
        <f t="shared" ca="1" si="48"/>
        <v>3.010958904109589</v>
      </c>
      <c r="P167" s="12">
        <f t="shared" si="46"/>
        <v>0.14748062015503866</v>
      </c>
      <c r="Q167" s="12">
        <f t="shared" ca="1" si="47"/>
        <v>4.6749194362449176E-2</v>
      </c>
      <c r="R167" s="9" t="s">
        <v>360</v>
      </c>
    </row>
    <row r="168" spans="1:19" x14ac:dyDescent="0.25">
      <c r="A168" s="23">
        <f>A167+1000</f>
        <v>51493</v>
      </c>
      <c r="B168" t="s">
        <v>196</v>
      </c>
      <c r="C168" t="s">
        <v>363</v>
      </c>
      <c r="D168" t="s">
        <v>10</v>
      </c>
      <c r="E168" s="2">
        <v>40556</v>
      </c>
      <c r="F168" s="13">
        <f t="shared" ca="1" si="39"/>
        <v>41655.752739726027</v>
      </c>
      <c r="G168" s="3">
        <v>10.38</v>
      </c>
      <c r="H168" s="3">
        <f t="shared" si="49"/>
        <v>96.339113680154142</v>
      </c>
      <c r="I168" s="3">
        <v>1</v>
      </c>
      <c r="J168" s="3">
        <f>H168*(0.121+0.201)</f>
        <v>31.021194605009633</v>
      </c>
      <c r="K168" s="3">
        <v>0</v>
      </c>
      <c r="L168" s="3">
        <v>10.15</v>
      </c>
      <c r="M168" s="15">
        <v>-1000</v>
      </c>
      <c r="N168" s="10">
        <f>H168*I168*L168+(J168)+(K168)</f>
        <v>1008.8631984585743</v>
      </c>
      <c r="O168" s="3">
        <f t="shared" ca="1" si="48"/>
        <v>3.010958904109589</v>
      </c>
      <c r="P168" s="12">
        <f t="shared" si="46"/>
        <v>8.8631984585742889E-3</v>
      </c>
      <c r="Q168" s="12">
        <f t="shared" ca="1" si="47"/>
        <v>2.9349765853108334E-3</v>
      </c>
      <c r="R168" s="9" t="s">
        <v>360</v>
      </c>
    </row>
    <row r="169" spans="1:19" x14ac:dyDescent="0.25">
      <c r="A169" s="23">
        <f>A168+1000-38250-1041</f>
        <v>13202</v>
      </c>
      <c r="B169" t="s">
        <v>199</v>
      </c>
      <c r="C169" t="s">
        <v>364</v>
      </c>
      <c r="D169" t="s">
        <v>10</v>
      </c>
      <c r="E169" s="2">
        <v>40585</v>
      </c>
      <c r="F169" s="13">
        <f t="shared" ca="1" si="39"/>
        <v>41655.732876712325</v>
      </c>
      <c r="G169" s="3">
        <v>2.65</v>
      </c>
      <c r="H169" s="3">
        <f t="shared" si="49"/>
        <v>377.35849056603774</v>
      </c>
      <c r="I169" s="3">
        <v>0.125</v>
      </c>
      <c r="J169" s="3">
        <v>0</v>
      </c>
      <c r="K169" s="3">
        <v>0</v>
      </c>
      <c r="L169" s="3">
        <f>'Data (ignore)'!B868</f>
        <v>6.87</v>
      </c>
      <c r="M169" s="15">
        <v>-1000</v>
      </c>
      <c r="N169" s="10">
        <f>H169*I169*L169+(J169)+(K169)</f>
        <v>324.05660377358492</v>
      </c>
      <c r="O169" s="3">
        <f t="shared" ca="1" si="48"/>
        <v>2.9315068493150687</v>
      </c>
      <c r="P169" s="12">
        <f t="shared" si="46"/>
        <v>-0.67594339622641508</v>
      </c>
      <c r="Q169" s="12">
        <f t="shared" ca="1" si="47"/>
        <v>-0.31913303760504819</v>
      </c>
      <c r="R169" s="9" t="s">
        <v>365</v>
      </c>
    </row>
    <row r="170" spans="1:19" x14ac:dyDescent="0.25">
      <c r="A170" s="23">
        <f>A169+1000</f>
        <v>14202</v>
      </c>
      <c r="B170" t="s">
        <v>201</v>
      </c>
      <c r="C170" t="s">
        <v>366</v>
      </c>
      <c r="D170" t="s">
        <v>10</v>
      </c>
      <c r="E170" s="2">
        <v>40592</v>
      </c>
      <c r="F170" s="13">
        <f t="shared" ca="1" si="39"/>
        <v>41655.728082191781</v>
      </c>
      <c r="G170" s="3">
        <v>11.9</v>
      </c>
      <c r="H170" s="3">
        <f t="shared" si="49"/>
        <v>84.033613445378151</v>
      </c>
      <c r="I170" s="3">
        <v>1</v>
      </c>
      <c r="J170" s="3">
        <v>0</v>
      </c>
      <c r="K170" s="3">
        <v>0</v>
      </c>
      <c r="L170" s="3">
        <f>'Data (ignore)'!B884</f>
        <v>14.36</v>
      </c>
      <c r="M170" s="15">
        <v>-1000</v>
      </c>
      <c r="N170" s="10">
        <f>H170/2*17.3+H170/2*L170</f>
        <v>1330.252100840336</v>
      </c>
      <c r="O170" s="3">
        <f t="shared" ca="1" si="48"/>
        <v>2.9123287671232876</v>
      </c>
      <c r="P170" s="12">
        <f t="shared" si="46"/>
        <v>0.33025210084033596</v>
      </c>
      <c r="Q170" s="12">
        <f t="shared" ca="1" si="47"/>
        <v>0.10294773275543556</v>
      </c>
      <c r="R170" s="9" t="s">
        <v>367</v>
      </c>
      <c r="S170" t="s">
        <v>380</v>
      </c>
    </row>
    <row r="171" spans="1:19" x14ac:dyDescent="0.25">
      <c r="A171" s="23">
        <f>A170+1000</f>
        <v>15202</v>
      </c>
      <c r="B171" t="s">
        <v>202</v>
      </c>
      <c r="C171" t="s">
        <v>368</v>
      </c>
      <c r="D171" t="s">
        <v>10</v>
      </c>
      <c r="E171" s="2">
        <v>40626</v>
      </c>
      <c r="F171" s="13">
        <f t="shared" si="39"/>
        <v>40662.525000000001</v>
      </c>
      <c r="G171" s="3">
        <v>7.44</v>
      </c>
      <c r="H171" s="3">
        <f t="shared" si="49"/>
        <v>134.40860215053763</v>
      </c>
      <c r="I171" s="3">
        <v>1</v>
      </c>
      <c r="J171" s="3">
        <v>0</v>
      </c>
      <c r="K171" s="3">
        <v>0</v>
      </c>
      <c r="L171" s="3">
        <v>18.53</v>
      </c>
      <c r="M171" s="15">
        <v>-1000</v>
      </c>
      <c r="N171" s="10">
        <f>(H171/2*16.19)+(H171/2*18.53)</f>
        <v>2333.333333333333</v>
      </c>
      <c r="O171" s="3">
        <v>0.1</v>
      </c>
      <c r="P171" s="12">
        <f t="shared" si="46"/>
        <v>1.333333333333333</v>
      </c>
      <c r="Q171" s="12">
        <f t="shared" si="47"/>
        <v>4782.7431455232027</v>
      </c>
      <c r="R171" s="9" t="s">
        <v>369</v>
      </c>
      <c r="S171" t="s">
        <v>206</v>
      </c>
    </row>
    <row r="172" spans="1:19" x14ac:dyDescent="0.25">
      <c r="A172" s="23">
        <f>A171+1000</f>
        <v>16202</v>
      </c>
      <c r="B172" t="s">
        <v>549</v>
      </c>
      <c r="C172" t="s">
        <v>548</v>
      </c>
      <c r="D172" t="s">
        <v>10</v>
      </c>
      <c r="E172" s="2">
        <v>40644</v>
      </c>
      <c r="F172" s="13">
        <f t="shared" ca="1" si="39"/>
        <v>41655.692465753425</v>
      </c>
      <c r="G172" s="3">
        <v>0.37</v>
      </c>
      <c r="H172" s="3">
        <f t="shared" si="49"/>
        <v>2702.7027027027029</v>
      </c>
      <c r="I172" s="3">
        <v>0.02</v>
      </c>
      <c r="J172" s="3">
        <v>0</v>
      </c>
      <c r="K172" s="3">
        <v>0</v>
      </c>
      <c r="L172" s="3">
        <f>L193</f>
        <v>21.59</v>
      </c>
      <c r="M172" s="15">
        <v>-1000</v>
      </c>
      <c r="N172" s="10">
        <f>H172*I172*L172+(J172)+(K172)</f>
        <v>1167.0270270270273</v>
      </c>
      <c r="O172" s="3">
        <f ca="1">($AA$17-E172)/365</f>
        <v>2.7698630136986302</v>
      </c>
      <c r="P172" s="12">
        <f>(N172-1000)/1000</f>
        <v>0.16702702702702732</v>
      </c>
      <c r="Q172" s="12">
        <f ca="1">(N172/1000)^(1/O172)-1</f>
        <v>5.7348452754697243E-2</v>
      </c>
      <c r="R172" s="9" t="s">
        <v>370</v>
      </c>
    </row>
    <row r="173" spans="1:19" x14ac:dyDescent="0.25">
      <c r="A173" s="23">
        <f>A172+1000-466-1084</f>
        <v>15652</v>
      </c>
      <c r="B173" t="s">
        <v>204</v>
      </c>
      <c r="C173" t="s">
        <v>371</v>
      </c>
      <c r="D173" t="s">
        <v>10</v>
      </c>
      <c r="E173" s="2">
        <v>40658</v>
      </c>
      <c r="F173" s="13">
        <f t="shared" si="39"/>
        <v>41348.472602739726</v>
      </c>
      <c r="G173" s="3">
        <v>1.1599999999999999</v>
      </c>
      <c r="H173" s="3">
        <f t="shared" si="49"/>
        <v>862.06896551724139</v>
      </c>
      <c r="I173" s="3">
        <v>1</v>
      </c>
      <c r="J173" s="3">
        <v>0</v>
      </c>
      <c r="K173" s="3">
        <v>0</v>
      </c>
      <c r="L173" s="3">
        <v>0.14000000000000001</v>
      </c>
      <c r="M173" s="15">
        <v>-1000</v>
      </c>
      <c r="N173" s="10">
        <f t="shared" ref="N173:N182" si="50">H173*I173*L173+(J173)+(K173)</f>
        <v>120.68965517241381</v>
      </c>
      <c r="O173" s="3">
        <f>(DATE(2013,3,15)-E173)/365</f>
        <v>1.8904109589041096</v>
      </c>
      <c r="P173" s="12">
        <f t="shared" ref="P173:P182" si="51">(N173-1000)/1000</f>
        <v>-0.87931034482758619</v>
      </c>
      <c r="Q173" s="12">
        <f t="shared" ref="Q173:Q182" si="52">(N173/1000)^(1/O173)-1</f>
        <v>-0.67324912164489192</v>
      </c>
      <c r="R173" s="9" t="s">
        <v>372</v>
      </c>
      <c r="S173" t="s">
        <v>504</v>
      </c>
    </row>
    <row r="174" spans="1:19" x14ac:dyDescent="0.25">
      <c r="A174" s="23">
        <f>A173+1000</f>
        <v>16652</v>
      </c>
      <c r="B174" t="s">
        <v>205</v>
      </c>
      <c r="C174" t="s">
        <v>374</v>
      </c>
      <c r="D174" t="s">
        <v>10</v>
      </c>
      <c r="E174" s="2">
        <v>40680</v>
      </c>
      <c r="F174" s="13">
        <f t="shared" si="39"/>
        <v>41023.23493150685</v>
      </c>
      <c r="G174" s="3">
        <v>5.48</v>
      </c>
      <c r="H174" s="3">
        <f t="shared" si="49"/>
        <v>182.48175182481751</v>
      </c>
      <c r="I174" s="3">
        <v>1</v>
      </c>
      <c r="J174" s="3">
        <v>0</v>
      </c>
      <c r="K174" s="3">
        <v>0</v>
      </c>
      <c r="L174" s="3">
        <v>1.72</v>
      </c>
      <c r="M174" s="15">
        <v>-1000</v>
      </c>
      <c r="N174" s="10">
        <f t="shared" si="50"/>
        <v>313.8686131386861</v>
      </c>
      <c r="O174" s="3">
        <f>(DATE(2012,4,24)-E174)/365</f>
        <v>0.9397260273972603</v>
      </c>
      <c r="P174" s="12">
        <f t="shared" si="51"/>
        <v>-0.68613138686131392</v>
      </c>
      <c r="Q174" s="12">
        <f t="shared" si="52"/>
        <v>-0.70861356683345156</v>
      </c>
      <c r="R174" s="9" t="s">
        <v>373</v>
      </c>
      <c r="S174" t="s">
        <v>492</v>
      </c>
    </row>
    <row r="175" spans="1:19" x14ac:dyDescent="0.25">
      <c r="A175" s="23">
        <f>A174+1000</f>
        <v>17652</v>
      </c>
      <c r="B175" t="s">
        <v>124</v>
      </c>
      <c r="C175" t="s">
        <v>411</v>
      </c>
      <c r="D175" t="s">
        <v>10</v>
      </c>
      <c r="E175" s="2">
        <v>40689</v>
      </c>
      <c r="F175" s="13">
        <f t="shared" si="39"/>
        <v>41248.382876712327</v>
      </c>
      <c r="G175" s="3">
        <v>2.31</v>
      </c>
      <c r="H175" s="3">
        <f t="shared" si="49"/>
        <v>432.90043290043292</v>
      </c>
      <c r="I175" s="3">
        <v>1</v>
      </c>
      <c r="J175" s="3">
        <v>0</v>
      </c>
      <c r="K175" s="3">
        <v>0</v>
      </c>
      <c r="L175" s="3">
        <v>11.9</v>
      </c>
      <c r="M175" s="15">
        <v>-1000</v>
      </c>
      <c r="N175" s="10">
        <f t="shared" si="50"/>
        <v>5151.515151515152</v>
      </c>
      <c r="O175" s="3">
        <f>((DATE(2012,12,5))-E175)/365</f>
        <v>1.5315068493150685</v>
      </c>
      <c r="P175" s="12">
        <f t="shared" si="51"/>
        <v>4.1515151515151523</v>
      </c>
      <c r="Q175" s="12">
        <f t="shared" si="52"/>
        <v>1.9164810308995381</v>
      </c>
      <c r="R175" s="9" t="s">
        <v>412</v>
      </c>
    </row>
    <row r="176" spans="1:19" x14ac:dyDescent="0.25">
      <c r="A176" s="23">
        <f>A175+1000-1241</f>
        <v>17411</v>
      </c>
      <c r="B176" t="s">
        <v>147</v>
      </c>
      <c r="C176" t="s">
        <v>309</v>
      </c>
      <c r="D176" t="s">
        <v>10</v>
      </c>
      <c r="E176" s="2">
        <v>40702</v>
      </c>
      <c r="F176" s="13">
        <f t="shared" ca="1" si="39"/>
        <v>41655.652739726029</v>
      </c>
      <c r="G176" s="3">
        <v>5.52</v>
      </c>
      <c r="H176" s="3">
        <f t="shared" si="49"/>
        <v>181.15942028985509</v>
      </c>
      <c r="I176" s="3">
        <v>1</v>
      </c>
      <c r="J176" s="3">
        <f>H176*(0.021*5+0.25)</f>
        <v>64.311594202898561</v>
      </c>
      <c r="K176" s="3">
        <v>0</v>
      </c>
      <c r="L176" s="3">
        <f>L182</f>
        <v>8.99</v>
      </c>
      <c r="M176" s="15">
        <v>-1000</v>
      </c>
      <c r="N176" s="10">
        <f t="shared" si="50"/>
        <v>1692.9347826086957</v>
      </c>
      <c r="O176" s="3">
        <f ca="1">($AA$17-E176)/365</f>
        <v>2.6109589041095891</v>
      </c>
      <c r="P176" s="12">
        <f t="shared" si="51"/>
        <v>0.69293478260869579</v>
      </c>
      <c r="Q176" s="12">
        <f t="shared" ca="1" si="52"/>
        <v>0.22340273549884704</v>
      </c>
      <c r="R176" s="9" t="s">
        <v>438</v>
      </c>
      <c r="S176" t="s">
        <v>207</v>
      </c>
    </row>
    <row r="177" spans="1:19" x14ac:dyDescent="0.25">
      <c r="A177" s="23">
        <f>A176+1000-3214</f>
        <v>15197</v>
      </c>
      <c r="B177" t="s">
        <v>204</v>
      </c>
      <c r="C177" t="s">
        <v>371</v>
      </c>
      <c r="D177" t="s">
        <v>10</v>
      </c>
      <c r="E177" s="2">
        <v>40722</v>
      </c>
      <c r="F177" s="13">
        <f t="shared" si="39"/>
        <v>41348.428767123289</v>
      </c>
      <c r="G177" s="3">
        <v>0.85</v>
      </c>
      <c r="H177" s="3">
        <f t="shared" si="49"/>
        <v>1176.4705882352941</v>
      </c>
      <c r="I177" s="3">
        <v>1</v>
      </c>
      <c r="J177" s="3">
        <v>0</v>
      </c>
      <c r="K177" s="3">
        <v>0</v>
      </c>
      <c r="L177" s="3">
        <v>0.14000000000000001</v>
      </c>
      <c r="M177" s="15">
        <v>-1000</v>
      </c>
      <c r="N177" s="10">
        <f t="shared" si="50"/>
        <v>164.70588235294119</v>
      </c>
      <c r="O177" s="3">
        <f>(DATE(2013,3,15)-E177)/365</f>
        <v>1.715068493150685</v>
      </c>
      <c r="P177" s="12">
        <f t="shared" si="51"/>
        <v>-0.83529411764705874</v>
      </c>
      <c r="Q177" s="12">
        <f t="shared" si="52"/>
        <v>-0.65062738698984535</v>
      </c>
      <c r="R177" s="9" t="s">
        <v>375</v>
      </c>
      <c r="S177" t="s">
        <v>504</v>
      </c>
    </row>
    <row r="178" spans="1:19" x14ac:dyDescent="0.25">
      <c r="A178" s="23">
        <f t="shared" ref="A178:A186" si="53">A177+1000</f>
        <v>16197</v>
      </c>
      <c r="B178" t="s">
        <v>209</v>
      </c>
      <c r="C178" t="s">
        <v>376</v>
      </c>
      <c r="D178" t="s">
        <v>10</v>
      </c>
      <c r="E178" s="2">
        <v>40729</v>
      </c>
      <c r="F178" s="13">
        <f t="shared" ca="1" si="39"/>
        <v>41655.634246575341</v>
      </c>
      <c r="G178" s="3">
        <v>1.77</v>
      </c>
      <c r="H178" s="3">
        <f t="shared" si="49"/>
        <v>564.9717514124294</v>
      </c>
      <c r="I178" s="3">
        <v>1</v>
      </c>
      <c r="J178" s="3">
        <v>0</v>
      </c>
      <c r="K178" s="3">
        <v>0</v>
      </c>
      <c r="L178" s="3">
        <f>'Data (ignore)'!B916</f>
        <v>0.63</v>
      </c>
      <c r="M178" s="15">
        <v>-1000</v>
      </c>
      <c r="N178" s="10">
        <f t="shared" si="50"/>
        <v>355.93220338983053</v>
      </c>
      <c r="O178" s="3">
        <f ca="1">($AA$17-E178)/365</f>
        <v>2.536986301369863</v>
      </c>
      <c r="P178" s="12">
        <f t="shared" si="51"/>
        <v>-0.64406779661016944</v>
      </c>
      <c r="Q178" s="12">
        <f t="shared" ca="1" si="52"/>
        <v>-0.3344769065728509</v>
      </c>
      <c r="R178" s="9" t="s">
        <v>377</v>
      </c>
      <c r="S178" t="s">
        <v>493</v>
      </c>
    </row>
    <row r="179" spans="1:19" x14ac:dyDescent="0.25">
      <c r="A179" s="23">
        <f t="shared" si="53"/>
        <v>17197</v>
      </c>
      <c r="B179" t="s">
        <v>210</v>
      </c>
      <c r="C179" t="s">
        <v>378</v>
      </c>
      <c r="D179" t="s">
        <v>10</v>
      </c>
      <c r="E179" s="2">
        <v>40729</v>
      </c>
      <c r="F179" s="13">
        <f t="shared" ca="1" si="39"/>
        <v>41655.634246575341</v>
      </c>
      <c r="G179" s="3">
        <v>2.77</v>
      </c>
      <c r="H179" s="3">
        <f t="shared" si="49"/>
        <v>361.01083032490976</v>
      </c>
      <c r="I179" s="3">
        <v>1</v>
      </c>
      <c r="J179" s="3">
        <v>0</v>
      </c>
      <c r="K179" s="3">
        <v>0</v>
      </c>
      <c r="L179" s="3">
        <f>'Data (ignore)'!B932</f>
        <v>2</v>
      </c>
      <c r="M179" s="15">
        <v>-1000</v>
      </c>
      <c r="N179" s="10">
        <f t="shared" si="50"/>
        <v>722.02166064981952</v>
      </c>
      <c r="O179" s="3">
        <f t="shared" ref="O179:O212" ca="1" si="54">($AA$17-E179)/365</f>
        <v>2.536986301369863</v>
      </c>
      <c r="P179" s="12">
        <f t="shared" si="51"/>
        <v>-0.27797833935018046</v>
      </c>
      <c r="Q179" s="12">
        <f t="shared" ca="1" si="52"/>
        <v>-0.12048153891068081</v>
      </c>
      <c r="R179" s="9" t="s">
        <v>377</v>
      </c>
    </row>
    <row r="180" spans="1:19" x14ac:dyDescent="0.25">
      <c r="A180" s="23">
        <f t="shared" si="53"/>
        <v>18197</v>
      </c>
      <c r="B180" t="s">
        <v>210</v>
      </c>
      <c r="C180" t="s">
        <v>378</v>
      </c>
      <c r="D180" t="s">
        <v>10</v>
      </c>
      <c r="E180" s="2">
        <v>40745</v>
      </c>
      <c r="F180" s="13">
        <f t="shared" ca="1" si="39"/>
        <v>41655.623287671231</v>
      </c>
      <c r="G180" s="3">
        <v>2.58</v>
      </c>
      <c r="H180" s="3">
        <f t="shared" si="49"/>
        <v>387.59689922480618</v>
      </c>
      <c r="I180" s="3">
        <v>1</v>
      </c>
      <c r="J180" s="3">
        <v>0</v>
      </c>
      <c r="K180" s="3">
        <v>0</v>
      </c>
      <c r="L180" s="3">
        <f>'Data (ignore)'!B932</f>
        <v>2</v>
      </c>
      <c r="M180" s="15">
        <v>-1000</v>
      </c>
      <c r="N180" s="10">
        <f t="shared" si="50"/>
        <v>775.19379844961236</v>
      </c>
      <c r="O180" s="3">
        <f t="shared" ca="1" si="54"/>
        <v>2.493150684931507</v>
      </c>
      <c r="P180" s="12">
        <f t="shared" si="51"/>
        <v>-0.22480620155038764</v>
      </c>
      <c r="Q180" s="12">
        <f t="shared" ca="1" si="52"/>
        <v>-9.709389664111856E-2</v>
      </c>
      <c r="R180" s="9" t="s">
        <v>379</v>
      </c>
      <c r="S180" t="s">
        <v>216</v>
      </c>
    </row>
    <row r="181" spans="1:19" x14ac:dyDescent="0.25">
      <c r="A181" s="23">
        <f t="shared" si="53"/>
        <v>19197</v>
      </c>
      <c r="B181" t="s">
        <v>211</v>
      </c>
      <c r="C181" t="s">
        <v>381</v>
      </c>
      <c r="D181" t="s">
        <v>10</v>
      </c>
      <c r="E181" s="2">
        <v>40759</v>
      </c>
      <c r="F181" s="13">
        <f t="shared" ca="1" si="39"/>
        <v>41655.613698630135</v>
      </c>
      <c r="G181" s="3">
        <v>6.19</v>
      </c>
      <c r="H181" s="3">
        <f t="shared" si="49"/>
        <v>161.55088852988689</v>
      </c>
      <c r="I181" s="3">
        <v>1</v>
      </c>
      <c r="J181" s="3">
        <v>0</v>
      </c>
      <c r="K181" s="3">
        <v>0</v>
      </c>
      <c r="L181" s="3">
        <f>L190</f>
        <v>3.66</v>
      </c>
      <c r="M181" s="15">
        <v>-1000</v>
      </c>
      <c r="N181" s="10">
        <f t="shared" si="50"/>
        <v>591.27625201938599</v>
      </c>
      <c r="O181" s="3">
        <f t="shared" ca="1" si="54"/>
        <v>2.4547945205479453</v>
      </c>
      <c r="P181" s="12">
        <f t="shared" si="51"/>
        <v>-0.40872374798061401</v>
      </c>
      <c r="Q181" s="12">
        <f t="shared" ca="1" si="52"/>
        <v>-0.19269960197726321</v>
      </c>
      <c r="R181" s="9" t="s">
        <v>382</v>
      </c>
    </row>
    <row r="182" spans="1:19" x14ac:dyDescent="0.25">
      <c r="A182" s="23">
        <f t="shared" si="53"/>
        <v>20197</v>
      </c>
      <c r="B182" t="s">
        <v>147</v>
      </c>
      <c r="C182" t="s">
        <v>309</v>
      </c>
      <c r="D182" t="s">
        <v>10</v>
      </c>
      <c r="E182" s="2">
        <v>40764</v>
      </c>
      <c r="F182" s="13">
        <f t="shared" ca="1" si="39"/>
        <v>41655.610273972605</v>
      </c>
      <c r="G182" s="3">
        <v>4.7300000000000004</v>
      </c>
      <c r="H182" s="3">
        <f t="shared" si="49"/>
        <v>211.41649048625791</v>
      </c>
      <c r="I182" s="3">
        <v>1</v>
      </c>
      <c r="J182" s="3">
        <f>H182*(0.021*5+0.25)</f>
        <v>75.052854122621554</v>
      </c>
      <c r="K182" s="3">
        <v>0</v>
      </c>
      <c r="L182" s="3">
        <f>'Data (ignore)'!B708</f>
        <v>8.99</v>
      </c>
      <c r="M182" s="15">
        <v>-1000</v>
      </c>
      <c r="N182" s="10">
        <f t="shared" si="50"/>
        <v>1975.6871035940801</v>
      </c>
      <c r="O182" s="3">
        <f t="shared" ca="1" si="54"/>
        <v>2.441095890410959</v>
      </c>
      <c r="P182" s="12">
        <f t="shared" si="51"/>
        <v>0.97568710359408006</v>
      </c>
      <c r="Q182" s="12">
        <f t="shared" ca="1" si="52"/>
        <v>0.32172638678739185</v>
      </c>
      <c r="R182" s="9" t="s">
        <v>384</v>
      </c>
    </row>
    <row r="183" spans="1:19" x14ac:dyDescent="0.25">
      <c r="A183" s="23">
        <f t="shared" si="53"/>
        <v>21197</v>
      </c>
      <c r="B183" t="s">
        <v>171</v>
      </c>
      <c r="C183" t="s">
        <v>332</v>
      </c>
      <c r="D183" t="s">
        <v>10</v>
      </c>
      <c r="E183" s="2">
        <v>40764</v>
      </c>
      <c r="F183" s="13">
        <f t="shared" ca="1" si="39"/>
        <v>41655.610273972605</v>
      </c>
      <c r="G183" s="3">
        <v>1.74</v>
      </c>
      <c r="H183" s="3">
        <f t="shared" si="49"/>
        <v>574.71264367816093</v>
      </c>
      <c r="I183" s="3">
        <v>1</v>
      </c>
      <c r="J183" s="3">
        <v>0</v>
      </c>
      <c r="K183" s="3">
        <v>0</v>
      </c>
      <c r="L183" s="3">
        <f>'Data (ignore)'!B804</f>
        <v>0.88</v>
      </c>
      <c r="M183" s="15">
        <v>-1000</v>
      </c>
      <c r="N183" s="10">
        <f t="shared" ref="N183:N188" si="55">H183*I183*L183+(J183)+(K183)</f>
        <v>505.74712643678163</v>
      </c>
      <c r="O183" s="3">
        <f t="shared" ca="1" si="54"/>
        <v>2.441095890410959</v>
      </c>
      <c r="P183" s="12">
        <f t="shared" ref="P183:P192" si="56">(N183-1000)/1000</f>
        <v>-0.4942528735632184</v>
      </c>
      <c r="Q183" s="12">
        <f t="shared" ref="Q183:Q192" ca="1" si="57">(N183/1000)^(1/O183)-1</f>
        <v>-0.24366236301693411</v>
      </c>
      <c r="R183" s="9" t="s">
        <v>384</v>
      </c>
    </row>
    <row r="184" spans="1:19" x14ac:dyDescent="0.25">
      <c r="A184" s="23">
        <f t="shared" si="53"/>
        <v>22197</v>
      </c>
      <c r="B184" t="s">
        <v>212</v>
      </c>
      <c r="C184" t="s">
        <v>385</v>
      </c>
      <c r="D184" t="s">
        <v>167</v>
      </c>
      <c r="E184" s="2">
        <v>40764</v>
      </c>
      <c r="F184" s="13">
        <f t="shared" ca="1" si="39"/>
        <v>41655.610273972605</v>
      </c>
      <c r="G184" s="3">
        <v>3.45</v>
      </c>
      <c r="H184" s="3">
        <f t="shared" si="49"/>
        <v>289.85507246376812</v>
      </c>
      <c r="I184" s="3">
        <v>1</v>
      </c>
      <c r="J184" s="3">
        <v>0</v>
      </c>
      <c r="K184" s="3">
        <v>0</v>
      </c>
      <c r="L184" s="3">
        <f>'Data (ignore)'!B964</f>
        <v>4.37</v>
      </c>
      <c r="M184" s="15">
        <v>-1000</v>
      </c>
      <c r="N184" s="10">
        <f t="shared" si="55"/>
        <v>1266.6666666666667</v>
      </c>
      <c r="O184" s="3">
        <f t="shared" ca="1" si="54"/>
        <v>2.441095890410959</v>
      </c>
      <c r="P184" s="12">
        <f t="shared" si="56"/>
        <v>0.26666666666666672</v>
      </c>
      <c r="Q184" s="12">
        <f t="shared" ca="1" si="57"/>
        <v>0.10168095440312586</v>
      </c>
      <c r="R184" s="9" t="s">
        <v>384</v>
      </c>
    </row>
    <row r="185" spans="1:19" x14ac:dyDescent="0.25">
      <c r="A185" s="23">
        <f t="shared" si="53"/>
        <v>23197</v>
      </c>
      <c r="B185" t="s">
        <v>165</v>
      </c>
      <c r="C185" t="s">
        <v>421</v>
      </c>
      <c r="D185" t="s">
        <v>10</v>
      </c>
      <c r="E185" s="2">
        <v>40767</v>
      </c>
      <c r="F185" s="13">
        <f t="shared" si="39"/>
        <v>40955.128767123286</v>
      </c>
      <c r="G185" s="3">
        <v>10.37</v>
      </c>
      <c r="H185" s="3">
        <f t="shared" si="49"/>
        <v>96.432015429122472</v>
      </c>
      <c r="I185" s="3">
        <v>1</v>
      </c>
      <c r="J185" s="3">
        <v>0</v>
      </c>
      <c r="K185" s="3">
        <v>0</v>
      </c>
      <c r="L185" s="3">
        <v>14.49</v>
      </c>
      <c r="M185" s="15">
        <v>-1000</v>
      </c>
      <c r="N185" s="10">
        <f t="shared" si="55"/>
        <v>1397.2999035679848</v>
      </c>
      <c r="O185" s="3">
        <f>(DATE(2012,2,16)-E185)/365</f>
        <v>0.51506849315068493</v>
      </c>
      <c r="P185" s="12">
        <f t="shared" si="56"/>
        <v>0.39729990356798478</v>
      </c>
      <c r="Q185" s="12">
        <f t="shared" si="57"/>
        <v>0.91460094629749489</v>
      </c>
      <c r="R185" s="9" t="s">
        <v>386</v>
      </c>
      <c r="S185" t="s">
        <v>222</v>
      </c>
    </row>
    <row r="186" spans="1:19" x14ac:dyDescent="0.25">
      <c r="A186" s="23">
        <f t="shared" si="53"/>
        <v>24197</v>
      </c>
      <c r="B186" t="s">
        <v>213</v>
      </c>
      <c r="C186" t="s">
        <v>387</v>
      </c>
      <c r="D186" t="s">
        <v>10</v>
      </c>
      <c r="E186" s="2">
        <v>40799</v>
      </c>
      <c r="F186" s="13">
        <f t="shared" si="39"/>
        <v>40808.006164383565</v>
      </c>
      <c r="G186" s="3">
        <v>24.2</v>
      </c>
      <c r="H186" s="3">
        <f t="shared" si="49"/>
        <v>41.32231404958678</v>
      </c>
      <c r="I186" s="3">
        <v>1</v>
      </c>
      <c r="J186" s="3">
        <v>0</v>
      </c>
      <c r="K186" s="3">
        <v>0</v>
      </c>
      <c r="L186" s="3">
        <v>21.93</v>
      </c>
      <c r="M186" s="15">
        <v>-1000</v>
      </c>
      <c r="N186" s="10">
        <f t="shared" si="55"/>
        <v>906.19834710743805</v>
      </c>
      <c r="O186" s="3">
        <f>(DATE(2011,9,22)-E186)/365</f>
        <v>2.4657534246575342E-2</v>
      </c>
      <c r="P186" s="12">
        <f t="shared" si="56"/>
        <v>-9.380165289256194E-2</v>
      </c>
      <c r="Q186" s="12">
        <f t="shared" si="57"/>
        <v>-0.98158525219317538</v>
      </c>
      <c r="R186" s="9" t="s">
        <v>388</v>
      </c>
      <c r="S186" t="s">
        <v>214</v>
      </c>
    </row>
    <row r="187" spans="1:19" x14ac:dyDescent="0.25">
      <c r="A187" s="23">
        <f>A186+1000-906</f>
        <v>24291</v>
      </c>
      <c r="B187" t="s">
        <v>211</v>
      </c>
      <c r="C187" t="s">
        <v>381</v>
      </c>
      <c r="D187" t="s">
        <v>10</v>
      </c>
      <c r="E187" s="2">
        <v>40809</v>
      </c>
      <c r="F187" s="13">
        <f t="shared" ca="1" si="39"/>
        <v>41655.579452054793</v>
      </c>
      <c r="G187" s="3">
        <v>2.69</v>
      </c>
      <c r="H187" s="3">
        <f t="shared" si="49"/>
        <v>371.74721189591077</v>
      </c>
      <c r="I187" s="3">
        <v>1</v>
      </c>
      <c r="J187" s="3">
        <v>0</v>
      </c>
      <c r="K187" s="3">
        <v>0</v>
      </c>
      <c r="L187" s="3">
        <f>L205</f>
        <v>3.66</v>
      </c>
      <c r="M187" s="15">
        <v>-1000</v>
      </c>
      <c r="N187" s="10">
        <f t="shared" si="55"/>
        <v>1360.5947955390334</v>
      </c>
      <c r="O187" s="3">
        <f t="shared" ca="1" si="54"/>
        <v>2.3178082191780822</v>
      </c>
      <c r="P187" s="12">
        <f t="shared" si="56"/>
        <v>0.3605947955390334</v>
      </c>
      <c r="Q187" s="12">
        <f t="shared" ca="1" si="57"/>
        <v>0.14207923140525325</v>
      </c>
      <c r="R187" s="9" t="s">
        <v>389</v>
      </c>
    </row>
    <row r="188" spans="1:19" x14ac:dyDescent="0.25">
      <c r="A188" s="23">
        <f>A187+1000</f>
        <v>25291</v>
      </c>
      <c r="B188" t="s">
        <v>215</v>
      </c>
      <c r="C188" t="s">
        <v>390</v>
      </c>
      <c r="D188" t="s">
        <v>10</v>
      </c>
      <c r="E188" s="2">
        <v>40821</v>
      </c>
      <c r="F188" s="13">
        <f t="shared" ca="1" si="39"/>
        <v>41655.571232876711</v>
      </c>
      <c r="G188" s="3">
        <v>21.61</v>
      </c>
      <c r="H188" s="3">
        <f t="shared" si="49"/>
        <v>46.274872744099952</v>
      </c>
      <c r="I188" s="3">
        <v>1</v>
      </c>
      <c r="J188" s="3">
        <f>H188*(0.12*3+0.15*4+0.16*2)</f>
        <v>59.231837112447941</v>
      </c>
      <c r="K188" s="3">
        <v>0</v>
      </c>
      <c r="L188" s="3">
        <f>'Data (ignore)'!B980</f>
        <v>32.6</v>
      </c>
      <c r="M188" s="15">
        <v>-1000</v>
      </c>
      <c r="N188" s="10">
        <f t="shared" si="55"/>
        <v>1567.7926885701065</v>
      </c>
      <c r="O188" s="3">
        <f t="shared" ca="1" si="54"/>
        <v>2.2849315068493152</v>
      </c>
      <c r="P188" s="12">
        <f t="shared" si="56"/>
        <v>0.56779268857010656</v>
      </c>
      <c r="Q188" s="12">
        <f t="shared" ca="1" si="57"/>
        <v>0.21749741444868609</v>
      </c>
      <c r="R188" s="9" t="s">
        <v>391</v>
      </c>
    </row>
    <row r="189" spans="1:19" x14ac:dyDescent="0.25">
      <c r="A189" s="23">
        <f>A188+1000</f>
        <v>26291</v>
      </c>
      <c r="B189" t="s">
        <v>186</v>
      </c>
      <c r="C189" t="s">
        <v>353</v>
      </c>
      <c r="D189" t="s">
        <v>10</v>
      </c>
      <c r="E189" s="2">
        <v>40848</v>
      </c>
      <c r="F189" s="13">
        <f t="shared" si="39"/>
        <v>41648.547945205479</v>
      </c>
      <c r="G189" s="3">
        <v>5.5</v>
      </c>
      <c r="H189" s="3">
        <f t="shared" si="49"/>
        <v>181.81818181818181</v>
      </c>
      <c r="I189" s="3">
        <v>1</v>
      </c>
      <c r="J189" s="3">
        <v>0</v>
      </c>
      <c r="K189" s="3">
        <v>0</v>
      </c>
      <c r="L189" s="3">
        <v>36.56</v>
      </c>
      <c r="M189" s="15">
        <v>-1000</v>
      </c>
      <c r="N189" s="10">
        <f>H189*L189+(J189)+(K189)</f>
        <v>6647.2727272727279</v>
      </c>
      <c r="O189" s="3">
        <f>(DATE(2014,1,9)-E189)/365</f>
        <v>2.1917808219178081</v>
      </c>
      <c r="P189" s="12">
        <f t="shared" si="56"/>
        <v>5.6472727272727283</v>
      </c>
      <c r="Q189" s="12">
        <f t="shared" si="57"/>
        <v>1.3731822737898467</v>
      </c>
      <c r="R189" s="9" t="s">
        <v>392</v>
      </c>
    </row>
    <row r="190" spans="1:19" x14ac:dyDescent="0.25">
      <c r="A190" s="23">
        <f>A189+1000-108</f>
        <v>27183</v>
      </c>
      <c r="B190" t="s">
        <v>211</v>
      </c>
      <c r="C190" t="s">
        <v>381</v>
      </c>
      <c r="D190" t="s">
        <v>10</v>
      </c>
      <c r="E190" s="2">
        <v>40876</v>
      </c>
      <c r="F190" s="13">
        <f t="shared" ca="1" si="39"/>
        <v>41655.533561643839</v>
      </c>
      <c r="G190" s="3">
        <v>1.98</v>
      </c>
      <c r="H190" s="3">
        <f t="shared" si="49"/>
        <v>505.05050505050508</v>
      </c>
      <c r="I190" s="3">
        <v>1</v>
      </c>
      <c r="J190" s="3">
        <v>0</v>
      </c>
      <c r="K190" s="3">
        <v>0</v>
      </c>
      <c r="L190" s="3">
        <f>L205</f>
        <v>3.66</v>
      </c>
      <c r="M190" s="15">
        <v>-1000</v>
      </c>
      <c r="N190" s="10">
        <f t="shared" ref="N190:N195" si="58">1000/G190*L190</f>
        <v>1848.4848484848487</v>
      </c>
      <c r="O190" s="3">
        <f t="shared" ca="1" si="54"/>
        <v>2.1342465753424658</v>
      </c>
      <c r="P190" s="12">
        <f t="shared" si="56"/>
        <v>0.84848484848484873</v>
      </c>
      <c r="Q190" s="12">
        <f t="shared" ca="1" si="57"/>
        <v>0.33357189305152968</v>
      </c>
      <c r="R190" s="9" t="s">
        <v>383</v>
      </c>
    </row>
    <row r="191" spans="1:19" x14ac:dyDescent="0.25">
      <c r="A191" s="23">
        <f>A190+1000-780</f>
        <v>27403</v>
      </c>
      <c r="B191" t="s">
        <v>221</v>
      </c>
      <c r="C191" t="s">
        <v>394</v>
      </c>
      <c r="D191" t="s">
        <v>10</v>
      </c>
      <c r="E191" s="2">
        <v>40954</v>
      </c>
      <c r="F191" s="13">
        <f t="shared" ca="1" si="39"/>
        <v>41655.480136986298</v>
      </c>
      <c r="G191" s="3">
        <v>340</v>
      </c>
      <c r="H191" s="3">
        <f t="shared" si="49"/>
        <v>2.9411764705882355</v>
      </c>
      <c r="I191" s="3">
        <v>1</v>
      </c>
      <c r="J191" s="3">
        <f>H191*(4.85+5.35+5.35)</f>
        <v>45.735294117647058</v>
      </c>
      <c r="K191" s="3">
        <v>0</v>
      </c>
      <c r="L191" s="3">
        <f>'Data (ignore)'!B996</f>
        <v>419</v>
      </c>
      <c r="M191" s="15">
        <v>-1000</v>
      </c>
      <c r="N191" s="10">
        <f>1000/G191*L191+J191</f>
        <v>1278.0882352941178</v>
      </c>
      <c r="O191" s="3">
        <f t="shared" ca="1" si="54"/>
        <v>1.9205479452054794</v>
      </c>
      <c r="P191" s="12">
        <f t="shared" si="56"/>
        <v>0.2780882352941178</v>
      </c>
      <c r="Q191" s="12">
        <f t="shared" ca="1" si="57"/>
        <v>0.13627800842393123</v>
      </c>
      <c r="R191" s="9" t="s">
        <v>393</v>
      </c>
    </row>
    <row r="192" spans="1:19" x14ac:dyDescent="0.25">
      <c r="A192" s="23">
        <f>A191+1000-1397-827</f>
        <v>26179</v>
      </c>
      <c r="B192" t="s">
        <v>221</v>
      </c>
      <c r="C192" t="s">
        <v>394</v>
      </c>
      <c r="D192" t="s">
        <v>10</v>
      </c>
      <c r="E192" s="2">
        <v>40976</v>
      </c>
      <c r="F192" s="13">
        <f t="shared" ca="1" si="39"/>
        <v>41655.465068493148</v>
      </c>
      <c r="G192" s="3">
        <v>365</v>
      </c>
      <c r="H192" s="3">
        <f t="shared" si="49"/>
        <v>2.7397260273972601</v>
      </c>
      <c r="I192" s="3">
        <v>1</v>
      </c>
      <c r="J192" s="3">
        <f>H192*(4.85+5.35+5.35)</f>
        <v>42.602739726027394</v>
      </c>
      <c r="K192" s="3">
        <v>0</v>
      </c>
      <c r="L192" s="3">
        <f>'Data (ignore)'!B996</f>
        <v>419</v>
      </c>
      <c r="M192" s="15">
        <v>-1000</v>
      </c>
      <c r="N192" s="10">
        <f>1000/G192*L192+J192</f>
        <v>1190.5479452054794</v>
      </c>
      <c r="O192" s="3">
        <f t="shared" ca="1" si="54"/>
        <v>1.8602739726027397</v>
      </c>
      <c r="P192" s="12">
        <f t="shared" si="56"/>
        <v>0.19054794520547944</v>
      </c>
      <c r="Q192" s="12">
        <f t="shared" ca="1" si="57"/>
        <v>9.8292800258508395E-2</v>
      </c>
      <c r="R192" s="9" t="s">
        <v>395</v>
      </c>
    </row>
    <row r="193" spans="1:19" x14ac:dyDescent="0.25">
      <c r="A193" s="23">
        <f>A192+1000</f>
        <v>27179</v>
      </c>
      <c r="B193" t="s">
        <v>549</v>
      </c>
      <c r="C193" t="s">
        <v>548</v>
      </c>
      <c r="D193" t="s">
        <v>10</v>
      </c>
      <c r="E193" s="2">
        <v>40989</v>
      </c>
      <c r="F193" s="13">
        <f t="shared" ca="1" si="39"/>
        <v>41655.456164383562</v>
      </c>
      <c r="G193" s="3">
        <v>0.26</v>
      </c>
      <c r="H193" s="3">
        <f t="shared" si="49"/>
        <v>3846.1538461538462</v>
      </c>
      <c r="I193" s="3">
        <v>0.02</v>
      </c>
      <c r="J193" s="3">
        <v>0</v>
      </c>
      <c r="K193" s="3">
        <v>0</v>
      </c>
      <c r="L193" s="3">
        <f>'Data (ignore)'!B900</f>
        <v>21.59</v>
      </c>
      <c r="M193" s="15">
        <v>-1000</v>
      </c>
      <c r="N193" s="10">
        <f>1000/G193*I193*L193</f>
        <v>1660.7692307692307</v>
      </c>
      <c r="O193" s="3">
        <f t="shared" ca="1" si="54"/>
        <v>1.8246575342465754</v>
      </c>
      <c r="P193" s="12">
        <f>(N193-1000)/1000</f>
        <v>0.66076923076923066</v>
      </c>
      <c r="Q193" s="12">
        <f ca="1">(N193/1000)^(1/O193)-1</f>
        <v>0.32050508025467606</v>
      </c>
      <c r="R193" s="9" t="s">
        <v>424</v>
      </c>
    </row>
    <row r="194" spans="1:19" x14ac:dyDescent="0.25">
      <c r="A194" s="23">
        <f>A193+1000-174</f>
        <v>28005</v>
      </c>
      <c r="B194" t="s">
        <v>204</v>
      </c>
      <c r="C194" t="s">
        <v>371</v>
      </c>
      <c r="D194" t="s">
        <v>10</v>
      </c>
      <c r="E194" s="2">
        <v>41003</v>
      </c>
      <c r="F194" s="13">
        <f t="shared" si="39"/>
        <v>41348.236301369863</v>
      </c>
      <c r="G194" s="3">
        <v>0.26</v>
      </c>
      <c r="H194" s="3">
        <f t="shared" si="49"/>
        <v>3846.1538461538462</v>
      </c>
      <c r="I194" s="3">
        <v>1</v>
      </c>
      <c r="J194" s="3">
        <v>0</v>
      </c>
      <c r="K194" s="3">
        <v>0</v>
      </c>
      <c r="L194" s="3">
        <v>0.14000000000000001</v>
      </c>
      <c r="M194" s="15">
        <v>-1000</v>
      </c>
      <c r="N194" s="10">
        <f t="shared" si="58"/>
        <v>538.46153846153857</v>
      </c>
      <c r="O194" s="3">
        <f>(DATE(2013,3,15)-E194)/365</f>
        <v>0.9452054794520548</v>
      </c>
      <c r="P194" s="12">
        <f>(N194-1000)/1000</f>
        <v>-0.46153846153846145</v>
      </c>
      <c r="Q194" s="12">
        <f>(N194/1000)^(1/O194)-1</f>
        <v>-0.48051925796804362</v>
      </c>
      <c r="R194" s="9" t="s">
        <v>425</v>
      </c>
      <c r="S194" t="s">
        <v>504</v>
      </c>
    </row>
    <row r="195" spans="1:19" x14ac:dyDescent="0.25">
      <c r="A195" s="23">
        <f>A194+1000-313</f>
        <v>28692</v>
      </c>
      <c r="B195" t="s">
        <v>468</v>
      </c>
      <c r="C195" t="s">
        <v>469</v>
      </c>
      <c r="D195" t="s">
        <v>10</v>
      </c>
      <c r="E195" s="2">
        <v>41043</v>
      </c>
      <c r="F195" s="13">
        <f t="shared" si="39"/>
        <v>41138.065068493153</v>
      </c>
      <c r="G195" s="3">
        <v>4.3</v>
      </c>
      <c r="H195" s="3">
        <f t="shared" si="49"/>
        <v>232.55813953488374</v>
      </c>
      <c r="I195" s="3">
        <v>1</v>
      </c>
      <c r="J195" s="3">
        <v>0</v>
      </c>
      <c r="K195" s="3">
        <v>0</v>
      </c>
      <c r="L195" s="3">
        <v>0</v>
      </c>
      <c r="M195" s="15">
        <v>-1000</v>
      </c>
      <c r="N195" s="10">
        <f t="shared" si="58"/>
        <v>0</v>
      </c>
      <c r="O195" s="3">
        <f>(DATE(2012,8,17)-E195)/365</f>
        <v>0.26027397260273971</v>
      </c>
      <c r="P195" s="12">
        <f t="shared" ref="P195:P218" si="59">(N195-1000)/1000</f>
        <v>-1</v>
      </c>
      <c r="Q195" s="12">
        <f t="shared" ref="Q195:Q212" si="60">(N195/1000)^(1/O195)-1</f>
        <v>-1</v>
      </c>
      <c r="R195" s="9" t="s">
        <v>494</v>
      </c>
    </row>
    <row r="196" spans="1:19" x14ac:dyDescent="0.25">
      <c r="A196" s="23">
        <f>A195+1000</f>
        <v>29692</v>
      </c>
      <c r="B196" t="s">
        <v>549</v>
      </c>
      <c r="C196" t="s">
        <v>548</v>
      </c>
      <c r="D196" t="s">
        <v>10</v>
      </c>
      <c r="E196" s="2">
        <v>41060</v>
      </c>
      <c r="F196" s="13">
        <f t="shared" ca="1" si="39"/>
        <v>41655.407534246573</v>
      </c>
      <c r="G196" s="3">
        <v>0.26</v>
      </c>
      <c r="H196" s="3">
        <f t="shared" si="49"/>
        <v>3846.1538461538462</v>
      </c>
      <c r="I196" s="3">
        <v>0.02</v>
      </c>
      <c r="J196" s="3">
        <v>0</v>
      </c>
      <c r="K196" s="3">
        <v>0</v>
      </c>
      <c r="L196" s="3">
        <f>'Data (ignore)'!B900</f>
        <v>21.59</v>
      </c>
      <c r="M196" s="15">
        <v>-1000</v>
      </c>
      <c r="N196" s="10">
        <f t="shared" ref="N196:N212" si="61">H196*I196*L196+(J196)+(K196)</f>
        <v>1660.7692307692307</v>
      </c>
      <c r="O196" s="3">
        <f t="shared" ca="1" si="54"/>
        <v>1.6301369863013699</v>
      </c>
      <c r="P196" s="12">
        <f t="shared" si="59"/>
        <v>0.66076923076923066</v>
      </c>
      <c r="Q196" s="12">
        <f t="shared" ca="1" si="60"/>
        <v>0.36504734851842002</v>
      </c>
      <c r="R196" s="9" t="s">
        <v>495</v>
      </c>
    </row>
    <row r="197" spans="1:19" x14ac:dyDescent="0.25">
      <c r="A197" s="23">
        <f>A196+1000</f>
        <v>30692</v>
      </c>
      <c r="B197" t="s">
        <v>470</v>
      </c>
      <c r="C197" t="s">
        <v>480</v>
      </c>
      <c r="D197" t="s">
        <v>10</v>
      </c>
      <c r="E197" s="2">
        <v>41106</v>
      </c>
      <c r="F197" s="13">
        <f t="shared" si="39"/>
        <v>41437.226712328767</v>
      </c>
      <c r="G197" s="3">
        <v>42.82</v>
      </c>
      <c r="H197" s="3">
        <f t="shared" si="49"/>
        <v>23.353573096683792</v>
      </c>
      <c r="I197" s="3">
        <v>1</v>
      </c>
      <c r="J197" s="3">
        <f>H197*(0.2+0.2+0.25+0.25+0.3)</f>
        <v>28.024287716020549</v>
      </c>
      <c r="K197" s="3">
        <v>0</v>
      </c>
      <c r="L197" s="3">
        <v>49.3</v>
      </c>
      <c r="M197" s="15">
        <v>-1000</v>
      </c>
      <c r="N197" s="10">
        <f t="shared" si="61"/>
        <v>1179.3554413825316</v>
      </c>
      <c r="O197" s="3">
        <f>(DATE(2013,6,12)-E197)/365</f>
        <v>0.9068493150684932</v>
      </c>
      <c r="P197" s="12">
        <f t="shared" si="59"/>
        <v>0.17935544138253159</v>
      </c>
      <c r="Q197" s="12">
        <f t="shared" si="60"/>
        <v>0.1995103262435487</v>
      </c>
      <c r="R197" s="9" t="s">
        <v>496</v>
      </c>
      <c r="S197" t="s">
        <v>547</v>
      </c>
    </row>
    <row r="198" spans="1:19" x14ac:dyDescent="0.25">
      <c r="A198" s="23">
        <f>A197+1000-1187</f>
        <v>30505</v>
      </c>
      <c r="B198" t="s">
        <v>174</v>
      </c>
      <c r="C198" t="s">
        <v>335</v>
      </c>
      <c r="D198" t="s">
        <v>10</v>
      </c>
      <c r="E198" s="2">
        <v>41198</v>
      </c>
      <c r="F198" s="13">
        <f t="shared" ca="1" si="39"/>
        <v>41655.313013698629</v>
      </c>
      <c r="G198" s="3">
        <v>1.72</v>
      </c>
      <c r="H198" s="3">
        <f t="shared" si="49"/>
        <v>581.39534883720933</v>
      </c>
      <c r="I198" s="3">
        <v>1</v>
      </c>
      <c r="J198" s="3">
        <v>0</v>
      </c>
      <c r="K198" s="3">
        <v>0</v>
      </c>
      <c r="L198" s="3">
        <f>'Data (ignore)'!B820</f>
        <v>0.3</v>
      </c>
      <c r="M198" s="15">
        <v>-1000</v>
      </c>
      <c r="N198" s="10">
        <f t="shared" si="61"/>
        <v>174.41860465116278</v>
      </c>
      <c r="O198" s="3">
        <f t="shared" ca="1" si="54"/>
        <v>1.252054794520548</v>
      </c>
      <c r="P198" s="12">
        <f t="shared" si="59"/>
        <v>-0.82558139534883723</v>
      </c>
      <c r="Q198" s="12">
        <f t="shared" ca="1" si="60"/>
        <v>-0.75210374444273898</v>
      </c>
      <c r="R198" s="9" t="s">
        <v>497</v>
      </c>
    </row>
    <row r="199" spans="1:19" x14ac:dyDescent="0.25">
      <c r="A199" s="23">
        <f>A198+1000-5151</f>
        <v>26354</v>
      </c>
      <c r="B199" t="s">
        <v>471</v>
      </c>
      <c r="C199" t="s">
        <v>481</v>
      </c>
      <c r="D199" t="s">
        <v>10</v>
      </c>
      <c r="E199" s="2">
        <v>41283</v>
      </c>
      <c r="F199" s="13">
        <f t="shared" ca="1" si="39"/>
        <v>41655.254794520552</v>
      </c>
      <c r="G199" s="3">
        <v>49.12</v>
      </c>
      <c r="H199" s="3">
        <f t="shared" si="49"/>
        <v>20.358306188925084</v>
      </c>
      <c r="I199" s="3">
        <v>1</v>
      </c>
      <c r="J199" s="3">
        <f>H199*(0.563+0.575+0.588+0.6)</f>
        <v>47.353420195439746</v>
      </c>
      <c r="K199" s="3">
        <v>0</v>
      </c>
      <c r="L199" s="3">
        <f>'Data (ignore)'!B1012</f>
        <v>50.49</v>
      </c>
      <c r="M199" s="15">
        <v>-1000</v>
      </c>
      <c r="N199" s="10">
        <f t="shared" si="61"/>
        <v>1075.2442996742673</v>
      </c>
      <c r="O199" s="3">
        <f t="shared" ca="1" si="54"/>
        <v>1.0191780821917809</v>
      </c>
      <c r="P199" s="12">
        <f t="shared" si="59"/>
        <v>7.5244299674267268E-2</v>
      </c>
      <c r="Q199" s="12">
        <f t="shared" ca="1" si="60"/>
        <v>7.377743301359585E-2</v>
      </c>
      <c r="R199" s="9" t="s">
        <v>498</v>
      </c>
    </row>
    <row r="200" spans="1:19" x14ac:dyDescent="0.25">
      <c r="A200" s="23">
        <f t="shared" ref="A200:A208" si="62">A199+1000</f>
        <v>27354</v>
      </c>
      <c r="B200" t="s">
        <v>472</v>
      </c>
      <c r="C200" t="s">
        <v>482</v>
      </c>
      <c r="D200" t="s">
        <v>10</v>
      </c>
      <c r="E200" s="2">
        <v>41283</v>
      </c>
      <c r="F200" s="13">
        <f t="shared" ca="1" si="39"/>
        <v>41655.254794520552</v>
      </c>
      <c r="G200" s="3">
        <v>57.98</v>
      </c>
      <c r="H200" s="3">
        <f t="shared" si="49"/>
        <v>17.247326664367023</v>
      </c>
      <c r="I200" s="3">
        <v>1</v>
      </c>
      <c r="J200" s="3">
        <f>H200*(0.71+0.715+0.72+0.725)</f>
        <v>49.499827526733348</v>
      </c>
      <c r="K200" s="3">
        <v>0</v>
      </c>
      <c r="L200" s="3">
        <f>'Data (ignore)'!B1028</f>
        <v>50.1</v>
      </c>
      <c r="M200" s="15">
        <v>-1000</v>
      </c>
      <c r="N200" s="10">
        <f t="shared" si="61"/>
        <v>913.59089341152128</v>
      </c>
      <c r="O200" s="3">
        <f t="shared" ca="1" si="54"/>
        <v>1.0191780821917809</v>
      </c>
      <c r="P200" s="12">
        <f t="shared" si="59"/>
        <v>-8.6409106588478723E-2</v>
      </c>
      <c r="Q200" s="12">
        <f t="shared" ca="1" si="60"/>
        <v>-8.4854172303544639E-2</v>
      </c>
      <c r="R200" s="9" t="s">
        <v>498</v>
      </c>
    </row>
    <row r="201" spans="1:19" x14ac:dyDescent="0.25">
      <c r="A201" s="23">
        <f t="shared" si="62"/>
        <v>28354</v>
      </c>
      <c r="B201" t="s">
        <v>473</v>
      </c>
      <c r="C201" t="s">
        <v>483</v>
      </c>
      <c r="D201" t="s">
        <v>10</v>
      </c>
      <c r="E201" s="2">
        <v>41283</v>
      </c>
      <c r="F201" s="13">
        <f t="shared" ca="1" si="39"/>
        <v>41655.254794520552</v>
      </c>
      <c r="G201" s="3">
        <v>52.69</v>
      </c>
      <c r="H201" s="3">
        <f t="shared" si="49"/>
        <v>18.978933383943822</v>
      </c>
      <c r="I201" s="3">
        <v>1</v>
      </c>
      <c r="J201" s="3">
        <f>H201*(0.82+0.83+0.84+0.85)</f>
        <v>63.389637502372366</v>
      </c>
      <c r="K201" s="3">
        <v>0</v>
      </c>
      <c r="L201" s="3">
        <f>'Data (ignore)'!B1044</f>
        <v>68.17</v>
      </c>
      <c r="M201" s="15">
        <v>-1000</v>
      </c>
      <c r="N201" s="10">
        <f t="shared" si="61"/>
        <v>1357.1835262858228</v>
      </c>
      <c r="O201" s="3">
        <f t="shared" ca="1" si="54"/>
        <v>1.0191780821917809</v>
      </c>
      <c r="P201" s="12">
        <f t="shared" si="59"/>
        <v>0.35718352628582284</v>
      </c>
      <c r="Q201" s="12">
        <f t="shared" ca="1" si="60"/>
        <v>0.34940617197642165</v>
      </c>
      <c r="R201" s="9" t="s">
        <v>498</v>
      </c>
    </row>
    <row r="202" spans="1:19" x14ac:dyDescent="0.25">
      <c r="A202" s="23">
        <f t="shared" si="62"/>
        <v>29354</v>
      </c>
      <c r="B202" t="s">
        <v>474</v>
      </c>
      <c r="C202" t="s">
        <v>484</v>
      </c>
      <c r="D202" t="s">
        <v>10</v>
      </c>
      <c r="E202" s="2">
        <v>41283</v>
      </c>
      <c r="F202" s="13">
        <f t="shared" ca="1" si="39"/>
        <v>41655.254794520552</v>
      </c>
      <c r="G202" s="3">
        <v>27.26</v>
      </c>
      <c r="H202" s="3">
        <f t="shared" si="49"/>
        <v>36.683785766691123</v>
      </c>
      <c r="I202" s="3">
        <v>1</v>
      </c>
      <c r="J202" s="3">
        <f>H202*(0.55*4)</f>
        <v>80.704328686720473</v>
      </c>
      <c r="K202" s="3">
        <v>0</v>
      </c>
      <c r="L202" s="3">
        <f>'Data (ignore)'!B1060</f>
        <v>26.52</v>
      </c>
      <c r="M202" s="15">
        <v>-1000</v>
      </c>
      <c r="N202" s="10">
        <f t="shared" si="61"/>
        <v>1053.5583272193689</v>
      </c>
      <c r="O202" s="3">
        <f t="shared" ca="1" si="54"/>
        <v>1.0191780821917809</v>
      </c>
      <c r="P202" s="12">
        <f t="shared" si="59"/>
        <v>5.3558327219368949E-2</v>
      </c>
      <c r="Q202" s="12">
        <f t="shared" ca="1" si="60"/>
        <v>5.252449759626221E-2</v>
      </c>
      <c r="R202" s="9" t="s">
        <v>498</v>
      </c>
    </row>
    <row r="203" spans="1:19" x14ac:dyDescent="0.25">
      <c r="A203" s="23">
        <f t="shared" si="62"/>
        <v>30354</v>
      </c>
      <c r="B203" t="s">
        <v>475</v>
      </c>
      <c r="C203" t="s">
        <v>485</v>
      </c>
      <c r="D203" t="s">
        <v>10</v>
      </c>
      <c r="E203" s="2">
        <v>41283</v>
      </c>
      <c r="F203" s="13">
        <f t="shared" ca="1" si="39"/>
        <v>41655.254794520552</v>
      </c>
      <c r="G203" s="3">
        <v>27.45</v>
      </c>
      <c r="H203" s="3">
        <f t="shared" si="49"/>
        <v>36.429872495446268</v>
      </c>
      <c r="I203" s="3">
        <v>1</v>
      </c>
      <c r="J203" s="3">
        <f>H203*(0.512+0.525*3)</f>
        <v>76.029143897996363</v>
      </c>
      <c r="K203" s="3">
        <v>0</v>
      </c>
      <c r="L203" s="3">
        <f>'Data (ignore)'!B1076</f>
        <v>32.4</v>
      </c>
      <c r="M203" s="15">
        <v>-1000</v>
      </c>
      <c r="N203" s="10">
        <f t="shared" si="61"/>
        <v>1256.3570127504554</v>
      </c>
      <c r="O203" s="3">
        <f t="shared" ca="1" si="54"/>
        <v>1.0191780821917809</v>
      </c>
      <c r="P203" s="12">
        <f t="shared" si="59"/>
        <v>0.25635701275045542</v>
      </c>
      <c r="Q203" s="12">
        <f t="shared" ca="1" si="60"/>
        <v>0.25097329112066658</v>
      </c>
      <c r="R203" s="9" t="s">
        <v>498</v>
      </c>
    </row>
    <row r="204" spans="1:19" x14ac:dyDescent="0.25">
      <c r="A204" s="23">
        <f t="shared" si="62"/>
        <v>31354</v>
      </c>
      <c r="B204" t="s">
        <v>476</v>
      </c>
      <c r="C204" t="s">
        <v>486</v>
      </c>
      <c r="D204" t="s">
        <v>10</v>
      </c>
      <c r="E204" s="2">
        <v>41283</v>
      </c>
      <c r="F204" s="13">
        <f t="shared" ca="1" si="39"/>
        <v>41655.254794520552</v>
      </c>
      <c r="G204" s="3">
        <v>23.6</v>
      </c>
      <c r="H204" s="3">
        <f t="shared" si="49"/>
        <v>42.372881355932201</v>
      </c>
      <c r="I204" s="3">
        <v>1</v>
      </c>
      <c r="J204" s="3">
        <f>H204*(0.39+0.395+0.4)</f>
        <v>50.211864406779661</v>
      </c>
      <c r="K204" s="3">
        <v>0</v>
      </c>
      <c r="L204" s="3">
        <f>'Data (ignore)'!B1092</f>
        <v>23.33</v>
      </c>
      <c r="M204" s="15">
        <v>-1000</v>
      </c>
      <c r="N204" s="10">
        <f t="shared" si="61"/>
        <v>1038.7711864406779</v>
      </c>
      <c r="O204" s="3">
        <f t="shared" ca="1" si="54"/>
        <v>1.0191780821917809</v>
      </c>
      <c r="P204" s="12">
        <f t="shared" si="59"/>
        <v>3.8771186440677868E-2</v>
      </c>
      <c r="Q204" s="12">
        <f t="shared" ca="1" si="60"/>
        <v>3.8027923402883301E-2</v>
      </c>
      <c r="R204" s="9" t="s">
        <v>498</v>
      </c>
    </row>
    <row r="205" spans="1:19" x14ac:dyDescent="0.25">
      <c r="A205" s="23">
        <f t="shared" si="62"/>
        <v>32354</v>
      </c>
      <c r="B205" t="s">
        <v>211</v>
      </c>
      <c r="C205" t="s">
        <v>381</v>
      </c>
      <c r="D205" t="s">
        <v>10</v>
      </c>
      <c r="E205" s="2">
        <v>41312</v>
      </c>
      <c r="F205" s="13">
        <f t="shared" ca="1" si="39"/>
        <v>41655.23493150685</v>
      </c>
      <c r="G205" s="3">
        <v>3.28</v>
      </c>
      <c r="H205" s="3">
        <f t="shared" si="49"/>
        <v>304.8780487804878</v>
      </c>
      <c r="I205" s="3">
        <v>1</v>
      </c>
      <c r="J205" s="3">
        <v>0</v>
      </c>
      <c r="K205" s="3">
        <v>0</v>
      </c>
      <c r="L205" s="3">
        <f>'Data (ignore)'!B948</f>
        <v>3.66</v>
      </c>
      <c r="M205" s="15">
        <v>-1000</v>
      </c>
      <c r="N205" s="10">
        <f t="shared" si="61"/>
        <v>1115.8536585365855</v>
      </c>
      <c r="O205" s="3">
        <f t="shared" ca="1" si="54"/>
        <v>0.9397260273972603</v>
      </c>
      <c r="P205" s="12">
        <f t="shared" si="59"/>
        <v>0.1158536585365855</v>
      </c>
      <c r="Q205" s="12">
        <f t="shared" ca="1" si="60"/>
        <v>0.1237268745690725</v>
      </c>
      <c r="R205" s="9" t="s">
        <v>499</v>
      </c>
    </row>
    <row r="206" spans="1:19" x14ac:dyDescent="0.25">
      <c r="A206" s="23">
        <f t="shared" si="62"/>
        <v>33354</v>
      </c>
      <c r="B206" t="s">
        <v>477</v>
      </c>
      <c r="C206" t="s">
        <v>487</v>
      </c>
      <c r="D206" t="s">
        <v>10</v>
      </c>
      <c r="E206" s="2">
        <v>41330</v>
      </c>
      <c r="F206" s="13">
        <f t="shared" ref="F206:F212" ca="1" si="63">E206+(365.25*O206)</f>
        <v>41655.222602739726</v>
      </c>
      <c r="G206" s="3">
        <v>0.84</v>
      </c>
      <c r="H206" s="3">
        <f t="shared" si="49"/>
        <v>1190.4761904761906</v>
      </c>
      <c r="I206" s="3">
        <v>1</v>
      </c>
      <c r="J206" s="3">
        <v>0</v>
      </c>
      <c r="K206" s="3">
        <v>0</v>
      </c>
      <c r="L206" s="3">
        <f>'Data (ignore)'!B1108</f>
        <v>2.48</v>
      </c>
      <c r="M206" s="15">
        <v>-1000</v>
      </c>
      <c r="N206" s="10">
        <f t="shared" si="61"/>
        <v>2952.3809523809527</v>
      </c>
      <c r="O206" s="3">
        <f t="shared" ca="1" si="54"/>
        <v>0.8904109589041096</v>
      </c>
      <c r="P206" s="12">
        <f t="shared" si="59"/>
        <v>1.9523809523809528</v>
      </c>
      <c r="Q206" s="12">
        <f t="shared" ca="1" si="60"/>
        <v>2.3731819398208116</v>
      </c>
      <c r="R206" s="9" t="s">
        <v>500</v>
      </c>
    </row>
    <row r="207" spans="1:19" x14ac:dyDescent="0.25">
      <c r="A207" s="23">
        <f t="shared" si="62"/>
        <v>34354</v>
      </c>
      <c r="B207" t="s">
        <v>27</v>
      </c>
      <c r="C207" t="s">
        <v>28</v>
      </c>
      <c r="D207" t="s">
        <v>10</v>
      </c>
      <c r="E207" s="2">
        <v>41347</v>
      </c>
      <c r="F207" s="13">
        <f t="shared" ca="1" si="63"/>
        <v>41655.210958904107</v>
      </c>
      <c r="G207" s="3">
        <v>8.0500000000000007</v>
      </c>
      <c r="H207" s="3">
        <f t="shared" si="49"/>
        <v>124.22360248447204</v>
      </c>
      <c r="I207" s="3">
        <v>1</v>
      </c>
      <c r="J207" s="3">
        <v>0</v>
      </c>
      <c r="K207" s="3">
        <v>0</v>
      </c>
      <c r="L207" s="3">
        <f>'Data (ignore)'!B1172</f>
        <v>16.399999999999999</v>
      </c>
      <c r="M207" s="15">
        <v>-1000</v>
      </c>
      <c r="N207" s="10">
        <f t="shared" si="61"/>
        <v>2037.2670807453412</v>
      </c>
      <c r="O207" s="3">
        <f t="shared" ca="1" si="54"/>
        <v>0.84383561643835614</v>
      </c>
      <c r="P207" s="12">
        <f t="shared" si="59"/>
        <v>1.0372670807453412</v>
      </c>
      <c r="Q207" s="12">
        <f t="shared" ca="1" si="60"/>
        <v>1.3240309624663924</v>
      </c>
      <c r="R207" s="9" t="s">
        <v>501</v>
      </c>
    </row>
    <row r="208" spans="1:19" x14ac:dyDescent="0.25">
      <c r="A208" s="23">
        <f t="shared" si="62"/>
        <v>35354</v>
      </c>
      <c r="B208" t="s">
        <v>478</v>
      </c>
      <c r="C208" t="s">
        <v>488</v>
      </c>
      <c r="D208" t="s">
        <v>10</v>
      </c>
      <c r="E208" s="2">
        <v>41347</v>
      </c>
      <c r="F208" s="13">
        <f t="shared" ca="1" si="63"/>
        <v>41655.210958904107</v>
      </c>
      <c r="G208" s="3">
        <v>49.38</v>
      </c>
      <c r="H208" s="3">
        <f t="shared" si="49"/>
        <v>20.251113811259618</v>
      </c>
      <c r="I208" s="3">
        <v>1</v>
      </c>
      <c r="J208" s="3">
        <v>0</v>
      </c>
      <c r="K208" s="3">
        <v>0</v>
      </c>
      <c r="L208" s="3">
        <f>'Data (ignore)'!B1124</f>
        <v>39.14</v>
      </c>
      <c r="M208" s="15">
        <v>-1000</v>
      </c>
      <c r="N208" s="10">
        <f t="shared" si="61"/>
        <v>792.62859457270145</v>
      </c>
      <c r="O208" s="3">
        <f t="shared" ca="1" si="54"/>
        <v>0.84383561643835614</v>
      </c>
      <c r="P208" s="12">
        <f t="shared" si="59"/>
        <v>-0.20737140542729857</v>
      </c>
      <c r="Q208" s="12">
        <f t="shared" ca="1" si="60"/>
        <v>-0.24073901691102262</v>
      </c>
      <c r="R208" s="9" t="s">
        <v>501</v>
      </c>
    </row>
    <row r="209" spans="1:19" x14ac:dyDescent="0.25">
      <c r="A209" s="23">
        <f>A208+1000-165-538</f>
        <v>35651</v>
      </c>
      <c r="B209" t="s">
        <v>147</v>
      </c>
      <c r="C209" t="s">
        <v>309</v>
      </c>
      <c r="D209" t="s">
        <v>10</v>
      </c>
      <c r="E209" s="2">
        <v>41348</v>
      </c>
      <c r="F209" s="13">
        <f t="shared" ca="1" si="63"/>
        <v>41655.210273972603</v>
      </c>
      <c r="G209" s="3">
        <v>7.36</v>
      </c>
      <c r="H209" s="3">
        <f t="shared" si="49"/>
        <v>135.86956521739131</v>
      </c>
      <c r="I209" s="3">
        <v>1</v>
      </c>
      <c r="J209" s="3">
        <v>0</v>
      </c>
      <c r="K209" s="3">
        <v>0</v>
      </c>
      <c r="L209" s="3">
        <f>'Data (ignore)'!B708</f>
        <v>8.99</v>
      </c>
      <c r="M209" s="15">
        <v>-1000</v>
      </c>
      <c r="N209" s="10">
        <f t="shared" si="61"/>
        <v>1221.467391304348</v>
      </c>
      <c r="O209" s="3">
        <f t="shared" ca="1" si="54"/>
        <v>0.84109589041095889</v>
      </c>
      <c r="P209" s="12">
        <f t="shared" si="59"/>
        <v>0.22146739130434798</v>
      </c>
      <c r="Q209" s="12">
        <f t="shared" ca="1" si="60"/>
        <v>0.26851627379642351</v>
      </c>
      <c r="R209" s="9" t="s">
        <v>502</v>
      </c>
    </row>
    <row r="210" spans="1:19" x14ac:dyDescent="0.25">
      <c r="A210" s="23">
        <f>A209+1000-1493</f>
        <v>35158</v>
      </c>
      <c r="B210" t="s">
        <v>478</v>
      </c>
      <c r="C210" t="s">
        <v>479</v>
      </c>
      <c r="D210" t="s">
        <v>10</v>
      </c>
      <c r="E210" s="2">
        <v>41372</v>
      </c>
      <c r="F210" s="13">
        <f t="shared" ca="1" si="63"/>
        <v>41655.193835616439</v>
      </c>
      <c r="G210" s="3">
        <v>13.5</v>
      </c>
      <c r="H210" s="3">
        <f t="shared" si="49"/>
        <v>74.074074074074076</v>
      </c>
      <c r="I210" s="3">
        <v>1</v>
      </c>
      <c r="J210" s="3">
        <v>0</v>
      </c>
      <c r="K210" s="3">
        <v>0</v>
      </c>
      <c r="L210" s="3">
        <v>15.4</v>
      </c>
      <c r="M210" s="15">
        <v>-1000</v>
      </c>
      <c r="N210" s="10">
        <f>(H210/2)*23.8+(H210/2*L210)</f>
        <v>1451.851851851852</v>
      </c>
      <c r="O210" s="3">
        <f t="shared" ca="1" si="54"/>
        <v>0.77534246575342469</v>
      </c>
      <c r="P210" s="12">
        <f t="shared" si="59"/>
        <v>0.45185185185185195</v>
      </c>
      <c r="Q210" s="12">
        <f t="shared" ca="1" si="60"/>
        <v>0.61748297905655902</v>
      </c>
      <c r="R210" s="9" t="s">
        <v>503</v>
      </c>
      <c r="S210" t="s">
        <v>552</v>
      </c>
    </row>
    <row r="211" spans="1:19" x14ac:dyDescent="0.25">
      <c r="A211" s="23">
        <f>A210+1000</f>
        <v>36158</v>
      </c>
      <c r="B211" t="s">
        <v>511</v>
      </c>
      <c r="C211" t="s">
        <v>550</v>
      </c>
      <c r="D211" t="s">
        <v>10</v>
      </c>
      <c r="E211" s="2">
        <v>41401</v>
      </c>
      <c r="F211" s="13">
        <f t="shared" ca="1" si="63"/>
        <v>41655.173972602737</v>
      </c>
      <c r="G211" s="3">
        <v>22.69</v>
      </c>
      <c r="H211" s="3">
        <f t="shared" si="49"/>
        <v>44.072278536800347</v>
      </c>
      <c r="I211" s="3">
        <v>1</v>
      </c>
      <c r="J211" s="3">
        <v>0</v>
      </c>
      <c r="K211" s="3">
        <v>0</v>
      </c>
      <c r="L211" s="3">
        <f>'Data (ignore)'!B1140</f>
        <v>40.99</v>
      </c>
      <c r="M211" s="15">
        <v>-1000</v>
      </c>
      <c r="N211" s="10">
        <f t="shared" si="61"/>
        <v>1806.5226972234464</v>
      </c>
      <c r="O211" s="3">
        <f t="shared" ca="1" si="54"/>
        <v>0.69589041095890414</v>
      </c>
      <c r="P211" s="12">
        <f t="shared" si="59"/>
        <v>0.80652269722344638</v>
      </c>
      <c r="Q211" s="12">
        <f t="shared" ca="1" si="60"/>
        <v>1.3393005364989405</v>
      </c>
      <c r="R211" s="9" t="s">
        <v>553</v>
      </c>
    </row>
    <row r="212" spans="1:19" x14ac:dyDescent="0.25">
      <c r="A212" s="23">
        <f>A211+1000</f>
        <v>37158</v>
      </c>
      <c r="B212" t="s">
        <v>512</v>
      </c>
      <c r="C212" t="s">
        <v>551</v>
      </c>
      <c r="D212" t="s">
        <v>10</v>
      </c>
      <c r="E212" s="2">
        <v>41401</v>
      </c>
      <c r="F212" s="13">
        <f t="shared" ca="1" si="63"/>
        <v>41655.173972602737</v>
      </c>
      <c r="G212" s="3">
        <v>10.31</v>
      </c>
      <c r="H212" s="3">
        <f t="shared" si="49"/>
        <v>96.993210475266721</v>
      </c>
      <c r="I212" s="3">
        <v>1</v>
      </c>
      <c r="J212" s="3">
        <v>0</v>
      </c>
      <c r="K212" s="3">
        <v>0</v>
      </c>
      <c r="L212" s="3">
        <f>'Data (ignore)'!B1156</f>
        <v>13.16</v>
      </c>
      <c r="M212" s="15">
        <v>-1000</v>
      </c>
      <c r="N212" s="10">
        <f t="shared" si="61"/>
        <v>1276.43064985451</v>
      </c>
      <c r="O212" s="3">
        <f t="shared" ca="1" si="54"/>
        <v>0.69589041095890414</v>
      </c>
      <c r="P212" s="12">
        <f t="shared" si="59"/>
        <v>0.27643064985450999</v>
      </c>
      <c r="Q212" s="12">
        <f t="shared" ca="1" si="60"/>
        <v>0.42009973212693952</v>
      </c>
      <c r="R212" s="9" t="s">
        <v>553</v>
      </c>
    </row>
    <row r="213" spans="1:19" x14ac:dyDescent="0.25">
      <c r="A213" s="23">
        <f>A212-880-1179</f>
        <v>35099</v>
      </c>
      <c r="B213" t="s">
        <v>583</v>
      </c>
      <c r="C213" t="s">
        <v>584</v>
      </c>
      <c r="D213" t="s">
        <v>10</v>
      </c>
      <c r="E213" s="2">
        <v>41628</v>
      </c>
      <c r="F213" s="13">
        <f ca="1">E213+(365.25*O213)</f>
        <v>41655.018493150688</v>
      </c>
      <c r="G213" s="3">
        <v>5.51</v>
      </c>
      <c r="H213" s="3">
        <f>1000/G213</f>
        <v>181.48820326678768</v>
      </c>
      <c r="I213" s="3">
        <v>1</v>
      </c>
      <c r="J213" s="3">
        <v>0</v>
      </c>
      <c r="K213" s="3">
        <v>0</v>
      </c>
      <c r="L213" s="3">
        <f>'Data (ignore)'!B1206</f>
        <v>6.27</v>
      </c>
      <c r="M213" s="15">
        <v>-1000</v>
      </c>
      <c r="N213" s="10">
        <f t="shared" ref="N213:N214" si="64">H213*I213*L213+(J213)+(K213)</f>
        <v>1137.9310344827586</v>
      </c>
      <c r="O213" s="3">
        <f t="shared" ref="O213:O214" ca="1" si="65">($AA$17-E213)/365</f>
        <v>7.3972602739726029E-2</v>
      </c>
      <c r="P213" s="12">
        <f t="shared" ref="P213" si="66">(N213-1000)/1000</f>
        <v>0.13793103448275862</v>
      </c>
      <c r="Q213" s="12">
        <f t="shared" ref="Q213" ca="1" si="67">(N213/1000)^(1/O213)-1</f>
        <v>4.7359373719692304</v>
      </c>
      <c r="R213" s="9" t="s">
        <v>645</v>
      </c>
    </row>
    <row r="214" spans="1:19" x14ac:dyDescent="0.25">
      <c r="A214" s="23">
        <f>A213-3611-2870</f>
        <v>28618</v>
      </c>
      <c r="B214" t="s">
        <v>583</v>
      </c>
      <c r="C214" t="s">
        <v>584</v>
      </c>
      <c r="D214" t="s">
        <v>10</v>
      </c>
      <c r="E214" s="2">
        <v>41638</v>
      </c>
      <c r="F214" s="13">
        <f ca="1">E214+(365.25*O214)</f>
        <v>41655.01164383562</v>
      </c>
      <c r="G214" s="3">
        <v>5.93</v>
      </c>
      <c r="H214" s="3">
        <f>1000/G214</f>
        <v>168.63406408094437</v>
      </c>
      <c r="I214" s="3">
        <v>1</v>
      </c>
      <c r="J214" s="3">
        <v>0</v>
      </c>
      <c r="K214" s="3">
        <v>0</v>
      </c>
      <c r="L214" s="3">
        <f>'Data (ignore)'!B1206</f>
        <v>6.27</v>
      </c>
      <c r="M214" s="15">
        <v>-1000</v>
      </c>
      <c r="N214" s="10">
        <f t="shared" si="64"/>
        <v>1057.3355817875211</v>
      </c>
      <c r="O214" s="3">
        <f t="shared" ca="1" si="65"/>
        <v>4.6575342465753428E-2</v>
      </c>
      <c r="P214" s="12">
        <f t="shared" ref="P214" si="68">(N214-1000)/1000</f>
        <v>5.7335581787521052E-2</v>
      </c>
      <c r="Q214" s="12">
        <f t="shared" ref="Q214" ca="1" si="69">(N214/1000)^(1/O214)-1</f>
        <v>2.310275029051589</v>
      </c>
      <c r="R214" s="9" t="s">
        <v>646</v>
      </c>
    </row>
    <row r="215" spans="1:19" x14ac:dyDescent="0.25">
      <c r="A215" s="23">
        <f>A214+1000-1131-1256</f>
        <v>27231</v>
      </c>
    </row>
    <row r="216" spans="1:19" x14ac:dyDescent="0.25">
      <c r="A216" s="23">
        <f>A215-6647+1000</f>
        <v>21584</v>
      </c>
    </row>
    <row r="217" spans="1:19" x14ac:dyDescent="0.25">
      <c r="A217" s="23"/>
      <c r="E217" s="2"/>
      <c r="G217" s="3"/>
      <c r="H217" s="3"/>
      <c r="I217" s="3"/>
      <c r="J217" s="3"/>
      <c r="K217" s="3"/>
      <c r="L217" s="3"/>
      <c r="N217" s="10"/>
      <c r="O217" s="3"/>
      <c r="P217" s="12"/>
      <c r="Q217" s="12"/>
    </row>
    <row r="218" spans="1:19" x14ac:dyDescent="0.25">
      <c r="D218">
        <v>198</v>
      </c>
      <c r="E218" t="s">
        <v>578</v>
      </c>
      <c r="J218" s="23">
        <f>D218*1000</f>
        <v>198000</v>
      </c>
      <c r="K218" t="s">
        <v>573</v>
      </c>
      <c r="L218" s="3"/>
      <c r="N218" s="10">
        <f>SUM(N17:N214)</f>
        <v>393017.72039703693</v>
      </c>
      <c r="O218" s="3"/>
      <c r="P218" s="3">
        <f t="shared" si="59"/>
        <v>392.01772039703695</v>
      </c>
      <c r="Q218" s="3"/>
    </row>
    <row r="219" spans="1:19" x14ac:dyDescent="0.25">
      <c r="E219" s="2"/>
      <c r="G219" s="3"/>
      <c r="H219" s="3"/>
      <c r="I219" s="3"/>
      <c r="J219" s="3"/>
      <c r="K219" s="3"/>
      <c r="L219" s="3"/>
      <c r="N219" s="10">
        <f>1000*(1+P219)</f>
        <v>1998.6572187303532</v>
      </c>
      <c r="O219" s="3">
        <f ca="1">AVERAGE(O17:O214)</f>
        <v>4.4072701904893696</v>
      </c>
      <c r="P219" s="12">
        <f>AVERAGE(P17:P168,P169:P210)</f>
        <v>0.99865721873035307</v>
      </c>
      <c r="Q219" s="12"/>
    </row>
    <row r="220" spans="1:19" x14ac:dyDescent="0.25">
      <c r="E220" s="2"/>
      <c r="G220" s="3"/>
      <c r="H220" s="3"/>
      <c r="I220" s="3"/>
      <c r="J220" s="3"/>
      <c r="K220" s="3"/>
      <c r="L220" s="3"/>
      <c r="N220" s="17"/>
      <c r="O220" s="3"/>
      <c r="P220" s="3"/>
      <c r="Q220" s="3"/>
    </row>
    <row r="221" spans="1:19" x14ac:dyDescent="0.25">
      <c r="E221" s="2"/>
      <c r="G221" s="3"/>
      <c r="H221" s="3"/>
      <c r="I221" s="3"/>
      <c r="J221" s="3"/>
      <c r="K221" s="3"/>
      <c r="L221" s="3"/>
      <c r="N221" s="18" t="s">
        <v>508</v>
      </c>
      <c r="O221" s="19">
        <f ca="1">XIRR(M17:N214, E17:F214,)</f>
        <v>0.15033403038978579</v>
      </c>
      <c r="P221" s="3"/>
      <c r="Q221" s="3"/>
    </row>
    <row r="222" spans="1:19" x14ac:dyDescent="0.25">
      <c r="E222" s="2"/>
      <c r="G222" s="3"/>
      <c r="H222" s="3"/>
      <c r="I222" s="3"/>
      <c r="J222" s="3"/>
      <c r="K222" s="3"/>
      <c r="L222" s="3"/>
      <c r="N222" s="18"/>
      <c r="O222" s="19"/>
      <c r="P222" s="3"/>
      <c r="Q222" s="3"/>
    </row>
    <row r="223" spans="1:19" x14ac:dyDescent="0.25">
      <c r="E223" s="2"/>
      <c r="G223" s="3"/>
      <c r="H223" s="3"/>
      <c r="I223" s="3"/>
      <c r="J223" s="3"/>
      <c r="K223" s="3"/>
      <c r="L223" s="3"/>
      <c r="N223" s="10"/>
      <c r="O223" s="3"/>
      <c r="P223" s="12"/>
      <c r="Q223" s="12"/>
      <c r="R223" s="9"/>
    </row>
    <row r="224" spans="1:19" x14ac:dyDescent="0.25">
      <c r="E224" s="2"/>
      <c r="G224" s="3"/>
      <c r="H224" s="3"/>
      <c r="I224" s="3"/>
      <c r="J224" s="3"/>
      <c r="K224" s="3"/>
      <c r="L224" s="3"/>
      <c r="N224" s="10"/>
      <c r="O224" s="3"/>
      <c r="P224" s="12"/>
      <c r="Q224" s="12"/>
      <c r="R224" s="9"/>
    </row>
    <row r="225" spans="2:20" x14ac:dyDescent="0.25">
      <c r="E225" s="2"/>
      <c r="G225" s="3"/>
      <c r="H225" s="3"/>
      <c r="I225" s="3"/>
      <c r="J225" s="3"/>
      <c r="K225" s="3"/>
      <c r="L225" s="3"/>
      <c r="N225" s="10"/>
      <c r="O225" s="3"/>
      <c r="P225" s="12"/>
      <c r="Q225" s="12"/>
      <c r="R225" s="9"/>
    </row>
    <row r="226" spans="2:20" x14ac:dyDescent="0.25">
      <c r="E226" s="2"/>
      <c r="G226" s="3"/>
      <c r="H226" s="3"/>
      <c r="I226" s="3"/>
      <c r="J226" s="3"/>
      <c r="K226" s="3"/>
      <c r="L226" s="3"/>
      <c r="N226" s="10"/>
      <c r="O226" s="3"/>
      <c r="P226" s="12"/>
      <c r="Q226" s="12"/>
      <c r="R226" s="9"/>
    </row>
    <row r="227" spans="2:20" x14ac:dyDescent="0.25">
      <c r="E227" s="2"/>
      <c r="G227" s="3"/>
      <c r="H227" s="3"/>
      <c r="I227" s="3"/>
      <c r="J227" s="3"/>
      <c r="K227" s="3"/>
      <c r="L227" s="3"/>
      <c r="N227" s="10"/>
      <c r="O227" s="3"/>
      <c r="P227" s="3"/>
      <c r="Q227" s="3"/>
    </row>
    <row r="228" spans="2:20" x14ac:dyDescent="0.25">
      <c r="B228" s="8"/>
      <c r="E228" s="2"/>
      <c r="G228" s="3"/>
      <c r="H228" s="3"/>
      <c r="I228" s="3"/>
      <c r="J228" s="3"/>
      <c r="K228" s="3"/>
      <c r="L228" s="3"/>
      <c r="N228" s="10"/>
      <c r="O228" s="3"/>
      <c r="P228" s="3"/>
      <c r="Q228" s="3"/>
    </row>
    <row r="229" spans="2:20" x14ac:dyDescent="0.25">
      <c r="E229" s="2"/>
      <c r="G229" s="3"/>
      <c r="H229" s="3"/>
      <c r="I229" s="3"/>
      <c r="J229" s="3"/>
      <c r="K229" s="3"/>
      <c r="L229" s="3"/>
      <c r="N229" s="10"/>
      <c r="O229" s="3"/>
      <c r="P229" s="3"/>
      <c r="Q229" s="3"/>
    </row>
    <row r="230" spans="2:20" hidden="1" x14ac:dyDescent="0.25">
      <c r="B230" s="20"/>
      <c r="E230" s="2"/>
      <c r="G230" s="4"/>
      <c r="H230" s="4"/>
      <c r="I230" s="4"/>
      <c r="J230" s="4"/>
      <c r="K230" s="3"/>
      <c r="L230" s="3"/>
      <c r="N230" s="4"/>
      <c r="O230" s="3"/>
      <c r="P230" s="3"/>
      <c r="Q230" s="3"/>
      <c r="S230" t="s">
        <v>509</v>
      </c>
    </row>
    <row r="231" spans="2:20" hidden="1" x14ac:dyDescent="0.25">
      <c r="B231" s="20"/>
      <c r="E231" s="2"/>
      <c r="G231" s="3"/>
      <c r="H231" s="3"/>
      <c r="I231" s="3"/>
      <c r="J231" s="3"/>
      <c r="K231" s="3"/>
      <c r="L231" s="3"/>
      <c r="N231" s="10"/>
      <c r="O231" s="3"/>
      <c r="P231" s="3"/>
      <c r="Q231" s="3"/>
      <c r="T231" s="20">
        <v>35521</v>
      </c>
    </row>
    <row r="232" spans="2:20" hidden="1" x14ac:dyDescent="0.25">
      <c r="B232" s="20"/>
      <c r="E232" s="2"/>
      <c r="G232" s="3"/>
      <c r="H232" s="3"/>
      <c r="I232" s="3"/>
      <c r="J232" s="3"/>
      <c r="K232" s="3"/>
      <c r="L232" s="3"/>
      <c r="N232" s="10"/>
      <c r="O232" s="3"/>
      <c r="P232" s="3"/>
      <c r="Q232" s="3"/>
      <c r="S232">
        <v>0.34</v>
      </c>
      <c r="T232" s="20">
        <v>35612</v>
      </c>
    </row>
    <row r="233" spans="2:20" hidden="1" x14ac:dyDescent="0.25">
      <c r="B233" s="20"/>
      <c r="E233" s="2"/>
      <c r="G233" s="3"/>
      <c r="H233" s="3"/>
      <c r="I233" s="3"/>
      <c r="J233" s="3"/>
      <c r="K233" s="3"/>
      <c r="L233" s="3"/>
      <c r="N233" s="10"/>
      <c r="O233" s="3"/>
      <c r="P233" s="3"/>
      <c r="Q233" s="3"/>
      <c r="S233">
        <v>0.35</v>
      </c>
      <c r="T233" s="20">
        <v>35704</v>
      </c>
    </row>
    <row r="234" spans="2:20" hidden="1" x14ac:dyDescent="0.25">
      <c r="B234" s="20"/>
      <c r="E234" s="2"/>
      <c r="G234" s="3"/>
      <c r="H234" s="3"/>
      <c r="I234" s="3"/>
      <c r="J234" s="3"/>
      <c r="K234" s="3"/>
      <c r="L234" s="3"/>
      <c r="N234" s="10"/>
      <c r="O234" s="3"/>
      <c r="P234" s="3"/>
      <c r="Q234" s="3"/>
      <c r="S234">
        <v>0.34499999999999997</v>
      </c>
      <c r="T234" s="20">
        <v>35796</v>
      </c>
    </row>
    <row r="235" spans="2:20" hidden="1" x14ac:dyDescent="0.25">
      <c r="B235" s="20"/>
      <c r="E235" s="2"/>
      <c r="G235" s="3"/>
      <c r="H235" s="3"/>
      <c r="I235" s="3"/>
      <c r="J235" s="3"/>
      <c r="K235" s="3"/>
      <c r="L235" s="3"/>
      <c r="N235" s="10"/>
      <c r="O235" s="3"/>
      <c r="P235" s="3"/>
      <c r="Q235" s="3"/>
      <c r="S235">
        <v>0.34799999999999998</v>
      </c>
      <c r="T235" s="20">
        <v>35886</v>
      </c>
    </row>
    <row r="236" spans="2:20" hidden="1" x14ac:dyDescent="0.25">
      <c r="B236" s="20"/>
      <c r="E236" s="2"/>
      <c r="G236" s="3"/>
      <c r="H236" s="3"/>
      <c r="I236" s="3"/>
      <c r="J236" s="3"/>
      <c r="K236" s="3"/>
      <c r="L236" s="3"/>
      <c r="N236" s="10"/>
      <c r="O236" s="3"/>
      <c r="P236" s="3"/>
      <c r="Q236" s="3"/>
      <c r="S236">
        <v>0.34799999999999998</v>
      </c>
      <c r="T236" s="20">
        <v>35977</v>
      </c>
    </row>
    <row r="237" spans="2:20" hidden="1" x14ac:dyDescent="0.25">
      <c r="B237" s="20"/>
      <c r="E237" s="2"/>
      <c r="G237" s="3"/>
      <c r="H237" s="3"/>
      <c r="I237" s="3"/>
      <c r="J237" s="3"/>
      <c r="K237" s="3"/>
      <c r="L237" s="3"/>
      <c r="N237" s="10"/>
      <c r="O237" s="3"/>
      <c r="P237" s="3"/>
      <c r="Q237" s="3"/>
      <c r="S237">
        <v>0.34799999999999998</v>
      </c>
      <c r="T237" s="20">
        <v>36069</v>
      </c>
    </row>
    <row r="238" spans="2:20" hidden="1" x14ac:dyDescent="0.25">
      <c r="B238" s="20"/>
      <c r="E238" s="2"/>
      <c r="G238" s="3"/>
      <c r="H238" s="3"/>
      <c r="I238" s="3"/>
      <c r="J238" s="3"/>
      <c r="K238" s="3"/>
      <c r="L238" s="3"/>
      <c r="N238" s="10"/>
      <c r="O238" s="3"/>
      <c r="P238" s="3"/>
      <c r="Q238" s="3"/>
      <c r="S238">
        <v>0.34799999999999998</v>
      </c>
      <c r="T238" s="20">
        <v>36161</v>
      </c>
    </row>
    <row r="239" spans="2:20" hidden="1" x14ac:dyDescent="0.25">
      <c r="B239" s="20"/>
      <c r="E239" s="2"/>
      <c r="G239" s="3"/>
      <c r="H239" s="3"/>
      <c r="I239" s="3"/>
      <c r="J239" s="3"/>
      <c r="K239" s="3"/>
      <c r="L239" s="3"/>
      <c r="N239" s="10"/>
      <c r="O239" s="3"/>
      <c r="P239" s="3"/>
      <c r="Q239" s="3"/>
      <c r="S239">
        <v>0.35499999999999998</v>
      </c>
      <c r="T239" s="20">
        <v>36251</v>
      </c>
    </row>
    <row r="240" spans="2:20" hidden="1" x14ac:dyDescent="0.25">
      <c r="B240" s="20"/>
      <c r="E240" s="2"/>
      <c r="G240" s="3"/>
      <c r="H240" s="3"/>
      <c r="I240" s="3"/>
      <c r="J240" s="3"/>
      <c r="K240" s="3"/>
      <c r="L240" s="3"/>
      <c r="N240" s="10"/>
      <c r="O240" s="3"/>
      <c r="P240" s="3"/>
      <c r="Q240" s="3"/>
      <c r="S240">
        <v>0.35499999999999998</v>
      </c>
      <c r="T240" s="20">
        <v>36342</v>
      </c>
    </row>
    <row r="241" spans="2:20" hidden="1" x14ac:dyDescent="0.25">
      <c r="B241" s="20"/>
      <c r="E241" s="2"/>
      <c r="G241" s="3"/>
      <c r="H241" s="3"/>
      <c r="I241" s="3"/>
      <c r="J241" s="3"/>
      <c r="K241" s="3"/>
      <c r="L241" s="3"/>
      <c r="N241" s="10"/>
      <c r="O241" s="3"/>
      <c r="P241" s="3"/>
      <c r="Q241" s="3"/>
      <c r="S241">
        <v>0.35499999999999998</v>
      </c>
      <c r="T241" s="20">
        <v>36434</v>
      </c>
    </row>
    <row r="242" spans="2:20" hidden="1" x14ac:dyDescent="0.25">
      <c r="B242" s="20"/>
      <c r="E242" s="2"/>
      <c r="G242" s="3"/>
      <c r="H242" s="3"/>
      <c r="I242" s="3"/>
      <c r="J242" s="3"/>
      <c r="K242" s="3"/>
      <c r="L242" s="3"/>
      <c r="N242" s="10"/>
      <c r="O242" s="3"/>
      <c r="P242" s="3"/>
      <c r="Q242" s="3"/>
      <c r="S242">
        <v>0.34799999999999998</v>
      </c>
      <c r="T242" s="20">
        <v>36526</v>
      </c>
    </row>
    <row r="243" spans="2:20" hidden="1" x14ac:dyDescent="0.25">
      <c r="B243" s="20"/>
      <c r="E243" s="2"/>
      <c r="G243" s="3"/>
      <c r="H243" s="3"/>
      <c r="I243" s="3"/>
      <c r="J243" s="3"/>
      <c r="K243" s="3"/>
      <c r="L243" s="3"/>
      <c r="N243" s="10"/>
      <c r="O243" s="3"/>
      <c r="P243" s="3"/>
      <c r="Q243" s="3"/>
      <c r="S243">
        <v>0.371</v>
      </c>
      <c r="T243" s="20">
        <v>36617</v>
      </c>
    </row>
    <row r="244" spans="2:20" hidden="1" x14ac:dyDescent="0.25">
      <c r="B244" s="20"/>
      <c r="E244" s="2"/>
      <c r="G244" s="3"/>
      <c r="H244" s="3"/>
      <c r="I244" s="3"/>
      <c r="J244" s="3"/>
      <c r="K244" s="3"/>
      <c r="L244" s="3"/>
      <c r="N244" s="10"/>
      <c r="O244" s="3"/>
      <c r="P244" s="3"/>
      <c r="Q244" s="3"/>
      <c r="S244">
        <v>0.34799999999999998</v>
      </c>
      <c r="T244" s="20">
        <v>36708</v>
      </c>
    </row>
    <row r="245" spans="2:20" hidden="1" x14ac:dyDescent="0.25">
      <c r="B245" s="20"/>
      <c r="E245" s="2"/>
      <c r="G245" s="3"/>
      <c r="H245" s="3"/>
      <c r="I245" s="3"/>
      <c r="J245" s="3"/>
      <c r="K245" s="3"/>
      <c r="L245" s="3"/>
      <c r="N245" s="10"/>
      <c r="O245" s="3"/>
      <c r="P245" s="3"/>
      <c r="Q245" s="3"/>
      <c r="S245">
        <v>0.375</v>
      </c>
      <c r="T245" s="20">
        <v>36800</v>
      </c>
    </row>
    <row r="246" spans="2:20" hidden="1" x14ac:dyDescent="0.25">
      <c r="B246" s="20"/>
      <c r="E246" s="2"/>
      <c r="G246" s="3"/>
      <c r="H246" s="3"/>
      <c r="I246" s="3"/>
      <c r="J246" s="3"/>
      <c r="K246" s="3"/>
      <c r="L246" s="3"/>
      <c r="N246" s="10"/>
      <c r="O246" s="3"/>
      <c r="P246" s="3"/>
      <c r="Q246" s="3"/>
      <c r="S246">
        <v>0.36</v>
      </c>
      <c r="T246" s="20">
        <v>36892</v>
      </c>
    </row>
    <row r="247" spans="2:20" hidden="1" x14ac:dyDescent="0.25">
      <c r="B247" s="20"/>
      <c r="E247" s="2"/>
      <c r="G247" s="3"/>
      <c r="H247" s="3"/>
      <c r="I247" s="3"/>
      <c r="J247" s="3"/>
      <c r="K247" s="3"/>
      <c r="L247" s="3"/>
      <c r="N247" s="10"/>
      <c r="O247" s="3"/>
      <c r="P247" s="3"/>
      <c r="Q247" s="3"/>
      <c r="S247">
        <v>0.316</v>
      </c>
      <c r="T247" s="20">
        <v>36982</v>
      </c>
    </row>
    <row r="248" spans="2:20" hidden="1" x14ac:dyDescent="0.25">
      <c r="B248" s="20"/>
      <c r="E248" s="2"/>
      <c r="G248" s="3"/>
      <c r="H248" s="3"/>
      <c r="I248" s="3"/>
      <c r="J248" s="3"/>
      <c r="K248" s="3"/>
      <c r="L248" s="3"/>
      <c r="N248" s="10"/>
      <c r="O248" s="3"/>
      <c r="P248" s="3"/>
      <c r="Q248" s="3"/>
      <c r="S248">
        <v>0.34599999999999997</v>
      </c>
      <c r="T248" s="20">
        <v>37073</v>
      </c>
    </row>
    <row r="249" spans="2:20" hidden="1" x14ac:dyDescent="0.25">
      <c r="B249" s="20"/>
      <c r="E249" s="2"/>
      <c r="G249" s="3"/>
      <c r="H249" s="3"/>
      <c r="I249" s="3"/>
      <c r="J249" s="3"/>
      <c r="K249" s="3"/>
      <c r="L249" s="3"/>
      <c r="N249" s="10"/>
      <c r="O249" s="3"/>
      <c r="P249" s="3"/>
      <c r="Q249" s="3"/>
      <c r="S249">
        <v>0.37</v>
      </c>
      <c r="T249" s="20">
        <v>37165</v>
      </c>
    </row>
    <row r="250" spans="2:20" hidden="1" x14ac:dyDescent="0.25">
      <c r="B250" s="20"/>
      <c r="E250" s="2"/>
      <c r="G250" s="3"/>
      <c r="H250" s="3"/>
      <c r="I250" s="3"/>
      <c r="J250" s="3"/>
      <c r="K250" s="3"/>
      <c r="L250" s="3"/>
      <c r="N250" s="10"/>
      <c r="O250" s="3"/>
      <c r="P250" s="3"/>
      <c r="Q250" s="3"/>
      <c r="S250">
        <v>0.39300000000000002</v>
      </c>
      <c r="T250" s="20">
        <v>37257</v>
      </c>
    </row>
    <row r="251" spans="2:20" hidden="1" x14ac:dyDescent="0.25">
      <c r="B251" s="20"/>
      <c r="E251" s="2"/>
      <c r="G251" s="3"/>
      <c r="H251" s="3"/>
      <c r="I251" s="3"/>
      <c r="J251" s="3"/>
      <c r="K251" s="3"/>
      <c r="L251" s="3"/>
      <c r="N251" s="10"/>
      <c r="O251" s="3"/>
      <c r="P251" s="3"/>
      <c r="Q251" s="3"/>
      <c r="S251">
        <v>0.33100000000000002</v>
      </c>
      <c r="T251" s="20">
        <v>37347</v>
      </c>
    </row>
    <row r="252" spans="2:20" hidden="1" x14ac:dyDescent="0.25">
      <c r="B252" s="20"/>
      <c r="E252" s="2"/>
      <c r="G252" s="3"/>
      <c r="H252" s="3"/>
      <c r="I252" s="3"/>
      <c r="J252" s="3"/>
      <c r="K252" s="3"/>
      <c r="L252" s="3"/>
      <c r="N252" s="10"/>
      <c r="O252" s="3"/>
      <c r="P252" s="3"/>
      <c r="Q252" s="3"/>
      <c r="S252">
        <v>0.35299999999999998</v>
      </c>
      <c r="T252" s="20">
        <v>37438</v>
      </c>
    </row>
    <row r="253" spans="2:20" hidden="1" x14ac:dyDescent="0.25">
      <c r="B253" s="20"/>
      <c r="E253" s="2"/>
      <c r="G253" s="3"/>
      <c r="H253" s="3"/>
      <c r="I253" s="3"/>
      <c r="J253" s="3"/>
      <c r="K253" s="3"/>
      <c r="L253" s="3"/>
      <c r="N253" s="10"/>
      <c r="O253" s="3"/>
      <c r="P253" s="3"/>
      <c r="Q253" s="3"/>
      <c r="S253">
        <v>0.378</v>
      </c>
      <c r="T253" s="20">
        <v>37530</v>
      </c>
    </row>
    <row r="254" spans="2:20" hidden="1" x14ac:dyDescent="0.25">
      <c r="B254" s="20"/>
      <c r="E254" s="2"/>
      <c r="G254" s="3"/>
      <c r="H254" s="3"/>
      <c r="I254" s="3"/>
      <c r="J254" s="3"/>
      <c r="K254" s="3"/>
      <c r="L254" s="3"/>
      <c r="N254" s="10"/>
      <c r="O254" s="3"/>
      <c r="P254" s="3"/>
      <c r="Q254" s="3"/>
      <c r="S254">
        <v>0.436</v>
      </c>
      <c r="T254" s="20">
        <v>37622</v>
      </c>
    </row>
    <row r="255" spans="2:20" hidden="1" x14ac:dyDescent="0.25">
      <c r="B255" s="20"/>
      <c r="E255" s="2"/>
      <c r="G255" s="3"/>
      <c r="H255" s="3"/>
      <c r="I255" s="3"/>
      <c r="J255" s="3"/>
      <c r="K255" s="3"/>
      <c r="L255" s="3"/>
      <c r="N255" s="10"/>
      <c r="O255" s="3"/>
      <c r="P255" s="3"/>
      <c r="Q255" s="3"/>
      <c r="S255">
        <v>0.35399999999999998</v>
      </c>
      <c r="T255" s="20">
        <v>37712</v>
      </c>
    </row>
    <row r="256" spans="2:20" hidden="1" x14ac:dyDescent="0.25">
      <c r="B256" s="20"/>
      <c r="E256" s="2"/>
      <c r="G256" s="3"/>
      <c r="H256" s="3"/>
      <c r="I256" s="3"/>
      <c r="J256" s="3"/>
      <c r="K256" s="3"/>
      <c r="L256" s="3"/>
      <c r="N256" s="10"/>
      <c r="O256" s="3"/>
      <c r="P256" s="3"/>
      <c r="Q256" s="3"/>
      <c r="S256">
        <v>0.36</v>
      </c>
      <c r="T256" s="20">
        <v>37803</v>
      </c>
    </row>
    <row r="257" spans="2:20" hidden="1" x14ac:dyDescent="0.25">
      <c r="B257" s="20"/>
      <c r="E257" s="2"/>
      <c r="G257" s="3"/>
      <c r="H257" s="3"/>
      <c r="I257" s="3"/>
      <c r="J257" s="3"/>
      <c r="K257" s="3"/>
      <c r="L257" s="3"/>
      <c r="N257" s="10"/>
      <c r="O257" s="3"/>
      <c r="P257" s="3"/>
      <c r="Q257" s="3"/>
      <c r="S257">
        <v>0.4</v>
      </c>
      <c r="T257" s="20">
        <v>37895</v>
      </c>
    </row>
    <row r="258" spans="2:20" hidden="1" x14ac:dyDescent="0.25">
      <c r="B258" s="20"/>
      <c r="E258" s="2"/>
      <c r="G258" s="3"/>
      <c r="H258" s="3"/>
      <c r="I258" s="3"/>
      <c r="J258" s="3"/>
      <c r="K258" s="3"/>
      <c r="L258" s="3"/>
      <c r="N258" s="10"/>
      <c r="O258" s="3"/>
      <c r="P258" s="3"/>
      <c r="Q258" s="3"/>
      <c r="S258">
        <v>0.51600000000000001</v>
      </c>
      <c r="T258" s="20">
        <v>37987</v>
      </c>
    </row>
    <row r="259" spans="2:20" hidden="1" x14ac:dyDescent="0.25">
      <c r="B259" s="20"/>
      <c r="E259" s="2"/>
      <c r="G259" s="3"/>
      <c r="H259" s="3"/>
      <c r="I259" s="3"/>
      <c r="J259" s="3"/>
      <c r="K259" s="3"/>
      <c r="L259" s="3"/>
      <c r="N259" s="10"/>
      <c r="O259" s="3"/>
      <c r="P259" s="3"/>
      <c r="Q259" s="3"/>
      <c r="S259">
        <v>0.39500000000000002</v>
      </c>
      <c r="T259" s="20">
        <v>38078</v>
      </c>
    </row>
    <row r="260" spans="2:20" hidden="1" x14ac:dyDescent="0.25">
      <c r="B260" s="20"/>
      <c r="E260" s="2"/>
      <c r="G260" s="3"/>
      <c r="H260" s="3"/>
      <c r="I260" s="3"/>
      <c r="J260" s="3"/>
      <c r="K260" s="3"/>
      <c r="L260" s="3"/>
      <c r="N260" s="10"/>
      <c r="O260" s="3"/>
      <c r="P260" s="3"/>
      <c r="Q260" s="3"/>
      <c r="S260">
        <v>0.41399999999999998</v>
      </c>
      <c r="T260" s="20">
        <v>38169</v>
      </c>
    </row>
    <row r="261" spans="2:20" hidden="1" x14ac:dyDescent="0.25">
      <c r="B261" s="20"/>
      <c r="E261" s="2"/>
      <c r="G261" s="3"/>
      <c r="H261" s="3"/>
      <c r="I261" s="3"/>
      <c r="J261" s="3"/>
      <c r="K261" s="3"/>
      <c r="L261" s="3"/>
      <c r="N261" s="10"/>
      <c r="O261" s="3"/>
      <c r="P261" s="3"/>
      <c r="Q261" s="3"/>
      <c r="S261">
        <v>0.46899999999999997</v>
      </c>
      <c r="T261" s="20">
        <v>38261</v>
      </c>
    </row>
    <row r="262" spans="2:20" hidden="1" x14ac:dyDescent="0.25">
      <c r="B262" s="20"/>
      <c r="E262" s="2"/>
      <c r="G262" s="3"/>
      <c r="H262" s="3"/>
      <c r="I262" s="3"/>
      <c r="J262" s="3"/>
      <c r="K262" s="3"/>
      <c r="L262" s="3"/>
      <c r="N262" s="10"/>
      <c r="O262" s="3"/>
      <c r="P262" s="3"/>
      <c r="Q262" s="3"/>
      <c r="S262">
        <f>0.351+0.568</f>
        <v>0.91899999999999993</v>
      </c>
      <c r="T262" s="20">
        <v>38353</v>
      </c>
    </row>
    <row r="263" spans="2:20" hidden="1" x14ac:dyDescent="0.25">
      <c r="B263" s="20"/>
      <c r="E263" s="2"/>
      <c r="G263" s="3"/>
      <c r="H263" s="3"/>
      <c r="I263" s="3"/>
      <c r="J263" s="3"/>
      <c r="K263" s="3"/>
      <c r="L263" s="3"/>
      <c r="N263" s="10"/>
      <c r="O263" s="3"/>
      <c r="P263" s="3"/>
      <c r="Q263" s="3"/>
      <c r="S263">
        <v>0.46700000000000003</v>
      </c>
      <c r="T263" s="20">
        <v>38443</v>
      </c>
    </row>
    <row r="264" spans="2:20" hidden="1" x14ac:dyDescent="0.25">
      <c r="B264" s="20"/>
      <c r="E264" s="2"/>
      <c r="G264" s="3"/>
      <c r="H264" s="3"/>
      <c r="I264" s="3"/>
      <c r="J264" s="3"/>
      <c r="K264" s="3"/>
      <c r="L264" s="3"/>
      <c r="N264" s="10"/>
      <c r="O264" s="3"/>
      <c r="P264" s="3"/>
      <c r="Q264" s="3"/>
      <c r="S264">
        <v>0.48799999999999999</v>
      </c>
      <c r="T264" s="20">
        <v>38534</v>
      </c>
    </row>
    <row r="265" spans="2:20" hidden="1" x14ac:dyDescent="0.25">
      <c r="B265" s="20"/>
      <c r="E265" s="2"/>
      <c r="G265" s="3"/>
      <c r="H265" s="3"/>
      <c r="I265" s="3"/>
      <c r="J265" s="3"/>
      <c r="K265" s="3"/>
      <c r="L265" s="3"/>
      <c r="N265" s="10"/>
      <c r="O265" s="3"/>
      <c r="P265" s="3"/>
      <c r="Q265" s="3"/>
      <c r="S265">
        <v>0.52200000000000002</v>
      </c>
      <c r="T265" s="20">
        <v>38626</v>
      </c>
    </row>
    <row r="266" spans="2:20" hidden="1" x14ac:dyDescent="0.25">
      <c r="B266" s="20"/>
      <c r="E266" s="2"/>
      <c r="G266" s="3"/>
      <c r="H266" s="3"/>
      <c r="I266" s="3"/>
      <c r="J266" s="3"/>
      <c r="K266" s="3"/>
      <c r="L266" s="3"/>
      <c r="N266" s="10"/>
      <c r="O266" s="3"/>
      <c r="P266" s="3"/>
      <c r="Q266" s="3"/>
      <c r="S266">
        <v>0.67200000000000004</v>
      </c>
      <c r="T266" s="20">
        <v>38718</v>
      </c>
    </row>
    <row r="267" spans="2:20" hidden="1" x14ac:dyDescent="0.25">
      <c r="B267" s="20"/>
      <c r="E267" s="2"/>
      <c r="G267" s="3"/>
      <c r="H267" s="3"/>
      <c r="I267" s="3"/>
      <c r="J267" s="3"/>
      <c r="K267" s="3"/>
      <c r="L267" s="3"/>
      <c r="N267" s="10"/>
      <c r="O267" s="3"/>
      <c r="P267" s="3"/>
      <c r="Q267" s="3"/>
      <c r="S267">
        <v>0.51900000000000002</v>
      </c>
      <c r="T267" s="20">
        <v>38808</v>
      </c>
    </row>
    <row r="268" spans="2:20" hidden="1" x14ac:dyDescent="0.25">
      <c r="B268" s="20"/>
      <c r="E268" s="2"/>
      <c r="G268" s="3"/>
      <c r="H268" s="3"/>
      <c r="I268" s="3"/>
      <c r="J268" s="3"/>
      <c r="K268" s="3"/>
      <c r="L268" s="3"/>
      <c r="N268" s="10"/>
      <c r="O268" s="3"/>
      <c r="P268" s="3"/>
      <c r="Q268" s="3"/>
      <c r="S268">
        <v>0.55500000000000005</v>
      </c>
      <c r="T268" s="20">
        <v>38899</v>
      </c>
    </row>
    <row r="269" spans="2:20" hidden="1" x14ac:dyDescent="0.25">
      <c r="B269" s="20"/>
      <c r="E269" s="2"/>
      <c r="G269" s="3"/>
      <c r="H269" s="3"/>
      <c r="I269" s="3"/>
      <c r="J269" s="3"/>
      <c r="K269" s="3"/>
      <c r="L269" s="3"/>
      <c r="N269" s="10"/>
      <c r="O269" s="3"/>
      <c r="P269" s="3"/>
      <c r="Q269" s="3"/>
      <c r="S269">
        <v>0.57899999999999996</v>
      </c>
      <c r="T269" s="20">
        <v>38991</v>
      </c>
    </row>
    <row r="270" spans="2:20" hidden="1" x14ac:dyDescent="0.25">
      <c r="B270" s="20"/>
      <c r="E270" s="2"/>
      <c r="G270" s="3"/>
      <c r="H270" s="3"/>
      <c r="I270" s="3"/>
      <c r="J270" s="3"/>
      <c r="K270" s="3"/>
      <c r="L270" s="3"/>
      <c r="N270" s="10"/>
      <c r="O270" s="3"/>
      <c r="P270" s="3"/>
      <c r="Q270" s="3"/>
      <c r="S270">
        <v>0.79300000000000004</v>
      </c>
      <c r="T270" s="20">
        <v>39083</v>
      </c>
    </row>
    <row r="271" spans="2:20" hidden="1" x14ac:dyDescent="0.25">
      <c r="B271" s="20"/>
      <c r="E271" s="2"/>
      <c r="G271" s="3"/>
      <c r="H271" s="3"/>
      <c r="I271" s="3"/>
      <c r="J271" s="3"/>
      <c r="K271" s="3"/>
      <c r="L271" s="3"/>
      <c r="N271" s="10"/>
      <c r="O271" s="3"/>
      <c r="P271" s="3"/>
      <c r="Q271" s="3"/>
      <c r="S271">
        <v>0.55100000000000005</v>
      </c>
      <c r="T271" s="20">
        <v>39173</v>
      </c>
    </row>
    <row r="272" spans="2:20" hidden="1" x14ac:dyDescent="0.25">
      <c r="B272" s="20"/>
      <c r="E272" s="2"/>
      <c r="G272" s="3"/>
      <c r="H272" s="3"/>
      <c r="I272" s="3"/>
      <c r="J272" s="3"/>
      <c r="K272" s="3"/>
      <c r="L272" s="3"/>
      <c r="N272" s="10"/>
      <c r="O272" s="3"/>
      <c r="P272" s="3"/>
      <c r="Q272" s="3"/>
      <c r="S272">
        <v>0.65600000000000003</v>
      </c>
      <c r="T272" s="20">
        <v>39264</v>
      </c>
    </row>
    <row r="273" spans="2:20" hidden="1" x14ac:dyDescent="0.25">
      <c r="B273" s="20"/>
      <c r="E273" s="2"/>
      <c r="G273" s="3"/>
      <c r="H273" s="3"/>
      <c r="I273" s="3"/>
      <c r="J273" s="3"/>
      <c r="K273" s="3"/>
      <c r="L273" s="3"/>
      <c r="N273" s="10"/>
      <c r="O273" s="3"/>
      <c r="P273" s="3"/>
      <c r="Q273" s="3"/>
      <c r="S273">
        <v>0.71899999999999997</v>
      </c>
      <c r="T273" s="20">
        <v>39356</v>
      </c>
    </row>
    <row r="274" spans="2:20" hidden="1" x14ac:dyDescent="0.25">
      <c r="B274" s="20"/>
      <c r="E274" s="2"/>
      <c r="G274" s="3"/>
      <c r="H274" s="3"/>
      <c r="I274" s="3"/>
      <c r="J274" s="3"/>
      <c r="K274" s="3"/>
      <c r="L274" s="3"/>
      <c r="N274" s="10"/>
      <c r="O274" s="3"/>
      <c r="P274" s="3"/>
      <c r="Q274" s="3"/>
      <c r="S274">
        <v>0.77500000000000002</v>
      </c>
      <c r="T274" s="20">
        <v>39448</v>
      </c>
    </row>
    <row r="275" spans="2:20" hidden="1" x14ac:dyDescent="0.25">
      <c r="B275" s="20"/>
      <c r="E275" s="2"/>
      <c r="G275" s="3"/>
      <c r="H275" s="3"/>
      <c r="I275" s="3"/>
      <c r="J275" s="3"/>
      <c r="K275" s="3"/>
      <c r="L275" s="3"/>
      <c r="N275" s="10"/>
      <c r="O275" s="3"/>
      <c r="P275" s="3"/>
      <c r="Q275" s="3"/>
      <c r="S275">
        <v>0.64200000000000002</v>
      </c>
      <c r="T275" s="20">
        <v>39539</v>
      </c>
    </row>
    <row r="276" spans="2:20" hidden="1" x14ac:dyDescent="0.25">
      <c r="B276" s="20"/>
      <c r="E276" s="2"/>
      <c r="G276" s="3"/>
      <c r="H276" s="3"/>
      <c r="I276" s="3"/>
      <c r="J276" s="3"/>
      <c r="K276" s="3"/>
      <c r="L276" s="3"/>
      <c r="N276" s="10"/>
      <c r="O276" s="3"/>
      <c r="P276" s="3"/>
      <c r="Q276" s="3"/>
      <c r="S276">
        <v>0.66900000000000004</v>
      </c>
      <c r="T276" s="20">
        <v>39630</v>
      </c>
    </row>
    <row r="277" spans="2:20" hidden="1" x14ac:dyDescent="0.25">
      <c r="B277" s="20"/>
      <c r="E277" s="2"/>
      <c r="G277" s="3"/>
      <c r="H277" s="3"/>
      <c r="I277" s="3"/>
      <c r="J277" s="3"/>
      <c r="K277" s="3"/>
      <c r="L277" s="3"/>
      <c r="N277" s="10"/>
      <c r="O277" s="3"/>
      <c r="P277" s="3"/>
      <c r="Q277" s="3"/>
      <c r="S277">
        <v>0.69099999999999995</v>
      </c>
      <c r="T277" s="20">
        <v>39722</v>
      </c>
    </row>
    <row r="278" spans="2:20" hidden="1" x14ac:dyDescent="0.25">
      <c r="B278" s="20"/>
      <c r="E278" s="2"/>
      <c r="G278" s="3"/>
      <c r="H278" s="3"/>
      <c r="I278" s="3"/>
      <c r="J278" s="3"/>
      <c r="K278" s="3"/>
      <c r="L278" s="3"/>
      <c r="N278" s="10"/>
      <c r="O278" s="3"/>
      <c r="P278" s="3"/>
      <c r="Q278" s="3"/>
      <c r="S278">
        <v>0.71899999999999997</v>
      </c>
      <c r="T278" s="20">
        <v>39814</v>
      </c>
    </row>
    <row r="279" spans="2:20" hidden="1" x14ac:dyDescent="0.25">
      <c r="B279" s="20"/>
      <c r="E279" s="2"/>
      <c r="G279" s="3"/>
      <c r="H279" s="3"/>
      <c r="I279" s="3"/>
      <c r="J279" s="3"/>
      <c r="K279" s="3"/>
      <c r="L279" s="3"/>
      <c r="N279" s="10"/>
      <c r="O279" s="3"/>
      <c r="P279" s="3"/>
      <c r="Q279" s="3"/>
      <c r="S279">
        <v>0.56100000000000005</v>
      </c>
      <c r="T279" s="20">
        <v>39904</v>
      </c>
    </row>
    <row r="280" spans="2:20" hidden="1" x14ac:dyDescent="0.25">
      <c r="B280" s="20"/>
      <c r="E280" s="2"/>
      <c r="G280" s="3"/>
      <c r="H280" s="3"/>
      <c r="I280" s="3"/>
      <c r="J280" s="3"/>
      <c r="K280" s="3"/>
      <c r="L280" s="3"/>
      <c r="N280" s="10"/>
      <c r="O280" s="3"/>
      <c r="P280" s="3"/>
      <c r="Q280" s="3"/>
      <c r="S280">
        <v>0.51800000000000002</v>
      </c>
      <c r="T280" s="20">
        <v>39995</v>
      </c>
    </row>
    <row r="281" spans="2:20" hidden="1" x14ac:dyDescent="0.25">
      <c r="B281" s="20"/>
      <c r="E281" s="2"/>
      <c r="G281" s="3"/>
      <c r="H281" s="3"/>
      <c r="I281" s="3"/>
      <c r="J281" s="3"/>
      <c r="K281" s="3"/>
      <c r="L281" s="3"/>
      <c r="N281" s="10"/>
      <c r="O281" s="3"/>
      <c r="P281" s="3"/>
      <c r="Q281" s="3"/>
      <c r="S281">
        <v>0.50800000000000001</v>
      </c>
      <c r="T281" s="20">
        <v>40087</v>
      </c>
    </row>
    <row r="282" spans="2:20" hidden="1" x14ac:dyDescent="0.25">
      <c r="B282" s="20"/>
      <c r="E282" s="2"/>
      <c r="G282" s="3"/>
      <c r="H282" s="3"/>
      <c r="I282" s="3"/>
      <c r="J282" s="3"/>
      <c r="K282" s="3"/>
      <c r="L282" s="3"/>
      <c r="N282" s="10"/>
      <c r="O282" s="3"/>
      <c r="P282" s="3"/>
      <c r="Q282" s="3"/>
      <c r="S282">
        <v>0.59</v>
      </c>
      <c r="T282" s="20">
        <v>40179</v>
      </c>
    </row>
    <row r="283" spans="2:20" hidden="1" x14ac:dyDescent="0.25">
      <c r="B283" s="20"/>
      <c r="E283" s="2"/>
      <c r="G283" s="3"/>
      <c r="H283" s="3"/>
      <c r="I283" s="3"/>
      <c r="J283" s="3"/>
      <c r="K283" s="3"/>
      <c r="L283" s="3"/>
      <c r="N283" s="10"/>
      <c r="O283" s="3"/>
      <c r="P283" s="3"/>
      <c r="Q283" s="3"/>
      <c r="S283">
        <v>0.48</v>
      </c>
      <c r="T283" s="20">
        <v>40269</v>
      </c>
    </row>
    <row r="284" spans="2:20" hidden="1" x14ac:dyDescent="0.25">
      <c r="B284" s="20"/>
      <c r="E284" s="2"/>
      <c r="G284" s="3"/>
      <c r="H284" s="3"/>
      <c r="I284" s="3"/>
      <c r="J284" s="3"/>
      <c r="K284" s="3"/>
      <c r="L284" s="3"/>
      <c r="N284" s="10"/>
      <c r="O284" s="3"/>
      <c r="P284" s="3"/>
      <c r="Q284" s="3"/>
      <c r="S284">
        <v>0.53100000000000003</v>
      </c>
      <c r="T284" s="20">
        <v>40360</v>
      </c>
    </row>
    <row r="285" spans="2:20" hidden="1" x14ac:dyDescent="0.25">
      <c r="B285" s="20"/>
      <c r="E285" s="2"/>
      <c r="G285" s="3"/>
      <c r="H285" s="3"/>
      <c r="I285" s="3"/>
      <c r="J285" s="3"/>
      <c r="K285" s="3"/>
      <c r="L285" s="3"/>
      <c r="N285" s="10"/>
      <c r="O285" s="3"/>
      <c r="P285" s="3"/>
      <c r="Q285" s="3"/>
      <c r="S285">
        <v>0.60199999999999998</v>
      </c>
      <c r="T285" s="20">
        <v>40452</v>
      </c>
    </row>
    <row r="286" spans="2:20" hidden="1" x14ac:dyDescent="0.25">
      <c r="B286" s="20"/>
      <c r="E286" s="2"/>
      <c r="G286" s="3"/>
      <c r="H286" s="3"/>
      <c r="I286" s="3"/>
      <c r="J286" s="3"/>
      <c r="K286" s="3"/>
      <c r="L286" s="3"/>
      <c r="N286" s="10"/>
      <c r="O286" s="3"/>
      <c r="P286" s="3"/>
      <c r="Q286" s="3"/>
      <c r="S286">
        <v>0.65300000000000002</v>
      </c>
      <c r="T286" s="20">
        <v>40544</v>
      </c>
    </row>
    <row r="287" spans="2:20" hidden="1" x14ac:dyDescent="0.25">
      <c r="B287" s="20"/>
      <c r="E287" s="2"/>
      <c r="G287" s="3"/>
      <c r="H287" s="3"/>
      <c r="I287" s="3"/>
      <c r="J287" s="3"/>
      <c r="K287" s="3"/>
      <c r="L287" s="3"/>
      <c r="N287" s="10"/>
      <c r="O287" s="3"/>
      <c r="P287" s="3"/>
      <c r="Q287" s="3"/>
      <c r="S287">
        <v>0.55300000000000005</v>
      </c>
      <c r="T287" s="20">
        <v>40634</v>
      </c>
    </row>
    <row r="288" spans="2:20" hidden="1" x14ac:dyDescent="0.25">
      <c r="B288" s="20"/>
      <c r="E288" s="2"/>
      <c r="G288" s="3"/>
      <c r="H288" s="3"/>
      <c r="I288" s="3"/>
      <c r="J288" s="3"/>
      <c r="K288" s="3"/>
      <c r="L288" s="3"/>
      <c r="N288" s="10"/>
      <c r="O288" s="3"/>
      <c r="P288" s="3"/>
      <c r="Q288" s="3"/>
      <c r="S288">
        <v>0.628</v>
      </c>
      <c r="T288" s="20">
        <v>40725</v>
      </c>
    </row>
    <row r="289" spans="2:20" hidden="1" x14ac:dyDescent="0.25">
      <c r="B289" s="20"/>
      <c r="E289" s="2"/>
      <c r="G289" s="3"/>
      <c r="H289" s="3"/>
      <c r="I289" s="3"/>
      <c r="J289" s="3"/>
      <c r="K289" s="3"/>
      <c r="L289" s="3"/>
      <c r="N289" s="10"/>
      <c r="O289" s="3"/>
      <c r="P289" s="3"/>
      <c r="Q289" s="3"/>
      <c r="S289">
        <v>0.625</v>
      </c>
      <c r="T289" s="20">
        <v>40817</v>
      </c>
    </row>
    <row r="290" spans="2:20" hidden="1" x14ac:dyDescent="0.25">
      <c r="B290" s="20"/>
      <c r="E290" s="2"/>
      <c r="G290" s="3"/>
      <c r="H290" s="3"/>
      <c r="I290" s="3"/>
      <c r="J290" s="3"/>
      <c r="K290" s="3"/>
      <c r="L290" s="3"/>
      <c r="N290" s="10"/>
      <c r="O290" s="3"/>
      <c r="P290" s="3"/>
      <c r="Q290" s="3"/>
      <c r="S290">
        <v>0.77</v>
      </c>
      <c r="T290" s="20">
        <v>40909</v>
      </c>
    </row>
    <row r="291" spans="2:20" hidden="1" x14ac:dyDescent="0.25">
      <c r="B291" s="20"/>
      <c r="E291" s="2"/>
      <c r="G291" s="3"/>
      <c r="H291" s="3"/>
      <c r="I291" s="3"/>
      <c r="J291" s="3"/>
      <c r="K291" s="3"/>
      <c r="L291" s="3"/>
      <c r="N291" s="10"/>
      <c r="O291" s="3"/>
      <c r="P291" s="3"/>
      <c r="Q291" s="3"/>
      <c r="S291">
        <v>0.61399999999999999</v>
      </c>
      <c r="T291" s="20">
        <v>41000</v>
      </c>
    </row>
    <row r="292" spans="2:20" hidden="1" x14ac:dyDescent="0.25">
      <c r="B292" s="20"/>
      <c r="E292" s="2"/>
      <c r="G292" s="3"/>
      <c r="H292" s="3"/>
      <c r="I292" s="3"/>
      <c r="J292" s="3"/>
      <c r="K292" s="3"/>
      <c r="L292" s="3"/>
      <c r="N292" s="10"/>
      <c r="O292" s="3"/>
      <c r="P292" s="3"/>
      <c r="Q292" s="3"/>
      <c r="S292">
        <v>0.68799999999999994</v>
      </c>
      <c r="T292" s="20">
        <v>41091</v>
      </c>
    </row>
    <row r="293" spans="2:20" hidden="1" x14ac:dyDescent="0.25">
      <c r="B293" s="20"/>
      <c r="E293" s="2"/>
      <c r="G293" s="3"/>
      <c r="H293" s="3"/>
      <c r="I293" s="3"/>
      <c r="J293" s="3"/>
      <c r="K293" s="3"/>
      <c r="L293" s="3"/>
      <c r="N293" s="10"/>
      <c r="O293" s="3"/>
      <c r="P293" s="3"/>
      <c r="Q293" s="3"/>
      <c r="S293">
        <v>0.77900000000000003</v>
      </c>
      <c r="T293" s="20">
        <v>41183</v>
      </c>
    </row>
    <row r="294" spans="2:20" hidden="1" x14ac:dyDescent="0.25">
      <c r="B294" s="20"/>
      <c r="E294" s="2"/>
      <c r="G294" s="3"/>
      <c r="H294" s="3"/>
      <c r="I294" s="3"/>
      <c r="J294" s="3"/>
      <c r="K294" s="3"/>
      <c r="L294" s="3"/>
      <c r="N294" s="10"/>
      <c r="O294" s="3"/>
      <c r="P294" s="3"/>
      <c r="Q294" s="3"/>
      <c r="S294">
        <v>1.022</v>
      </c>
      <c r="T294" s="20">
        <v>41275</v>
      </c>
    </row>
    <row r="295" spans="2:20" hidden="1" x14ac:dyDescent="0.25">
      <c r="B295" s="20"/>
      <c r="E295" s="2"/>
      <c r="G295" s="3"/>
      <c r="H295" s="3"/>
      <c r="I295" s="3"/>
      <c r="J295" s="3"/>
      <c r="K295" s="3"/>
      <c r="L295" s="3"/>
      <c r="N295" s="10"/>
      <c r="O295" s="3"/>
      <c r="P295" s="3"/>
      <c r="Q295" s="3"/>
      <c r="S295">
        <v>0.69399999999999995</v>
      </c>
      <c r="T295" s="20">
        <v>41365</v>
      </c>
    </row>
    <row r="296" spans="2:20" hidden="1" x14ac:dyDescent="0.25">
      <c r="B296" s="20"/>
      <c r="E296" s="2"/>
      <c r="G296" s="3"/>
      <c r="H296" s="3"/>
      <c r="I296" s="3"/>
      <c r="J296" s="3"/>
      <c r="K296" s="3"/>
      <c r="L296" s="3"/>
      <c r="N296" s="10"/>
      <c r="O296" s="3"/>
      <c r="P296" s="3"/>
      <c r="Q296" s="3"/>
      <c r="S296">
        <v>0.83899999999999997</v>
      </c>
      <c r="T296" s="20">
        <v>41456</v>
      </c>
    </row>
    <row r="297" spans="2:20" hidden="1" x14ac:dyDescent="0.25">
      <c r="B297" s="20"/>
      <c r="E297" s="2"/>
      <c r="G297" s="3"/>
      <c r="H297" s="3"/>
      <c r="I297" s="3"/>
      <c r="J297" s="3"/>
      <c r="K297" s="3"/>
      <c r="L297" s="3"/>
      <c r="N297" s="10"/>
      <c r="O297" s="3"/>
      <c r="P297" s="3"/>
      <c r="Q297" s="3"/>
      <c r="S297">
        <v>0.83799999999999997</v>
      </c>
      <c r="T297" s="20">
        <v>41548</v>
      </c>
    </row>
    <row r="298" spans="2:20" hidden="1" x14ac:dyDescent="0.25">
      <c r="E298" s="2"/>
      <c r="G298" s="3"/>
      <c r="H298" s="3"/>
      <c r="I298" s="3"/>
      <c r="J298" s="3"/>
      <c r="K298" s="3"/>
      <c r="L298" s="3"/>
      <c r="N298" s="10"/>
      <c r="O298" s="3"/>
      <c r="P298" s="3"/>
      <c r="Q298" s="3"/>
      <c r="S298">
        <v>0.98</v>
      </c>
      <c r="T298" s="20">
        <v>41640</v>
      </c>
    </row>
    <row r="299" spans="2:20" x14ac:dyDescent="0.25">
      <c r="E299" s="2"/>
      <c r="G299" s="3"/>
      <c r="H299" s="3"/>
      <c r="I299" s="3"/>
      <c r="J299" s="3"/>
      <c r="K299" s="3"/>
      <c r="L299" s="3"/>
      <c r="N299" s="3"/>
      <c r="O299" s="3"/>
      <c r="P299" s="3"/>
      <c r="Q299" s="3"/>
    </row>
    <row r="300" spans="2:20" x14ac:dyDescent="0.25">
      <c r="E300" s="2"/>
      <c r="G300" s="3"/>
      <c r="H300" s="3"/>
      <c r="I300" s="3"/>
      <c r="J300" s="3"/>
      <c r="K300" s="3"/>
      <c r="L300" s="3"/>
      <c r="N300" s="10"/>
      <c r="O300" s="3"/>
      <c r="P300" s="3"/>
      <c r="Q300" s="3"/>
    </row>
    <row r="301" spans="2:20" x14ac:dyDescent="0.25">
      <c r="D301" s="2"/>
      <c r="G301" s="3"/>
      <c r="H301" s="3"/>
      <c r="I301" s="3"/>
      <c r="J301" s="3"/>
      <c r="K301" s="3"/>
      <c r="L301" s="3"/>
      <c r="N301" s="10"/>
      <c r="O301" s="3"/>
      <c r="P301" s="3"/>
      <c r="Q301" s="3"/>
    </row>
    <row r="302" spans="2:20" x14ac:dyDescent="0.25">
      <c r="E302" s="2"/>
      <c r="G302" s="3"/>
      <c r="H302" s="3"/>
      <c r="I302" s="3"/>
      <c r="J302" s="3"/>
      <c r="K302" s="3"/>
      <c r="L302" s="3"/>
      <c r="N302" s="10"/>
      <c r="O302" s="3"/>
      <c r="P302" s="3"/>
      <c r="Q302" s="3"/>
    </row>
    <row r="303" spans="2:20" x14ac:dyDescent="0.25">
      <c r="E303" s="2"/>
      <c r="G303" s="3"/>
      <c r="H303" s="3"/>
      <c r="I303" s="3"/>
      <c r="J303" s="3"/>
      <c r="K303" s="3"/>
      <c r="L303" s="3"/>
      <c r="N303" s="10"/>
      <c r="O303" s="3"/>
      <c r="P303" s="3"/>
      <c r="Q303" s="3"/>
    </row>
    <row r="304" spans="2:20" x14ac:dyDescent="0.25">
      <c r="E304" s="2"/>
      <c r="G304" s="12"/>
      <c r="H304" s="3"/>
      <c r="I304" s="3"/>
      <c r="J304" s="3"/>
      <c r="K304" s="3"/>
      <c r="L304" s="3"/>
      <c r="N304" s="10"/>
      <c r="O304" s="3"/>
      <c r="P304" s="3"/>
      <c r="Q304" s="3"/>
    </row>
    <row r="305" spans="2:17" x14ac:dyDescent="0.25">
      <c r="E305" s="2"/>
      <c r="G305" s="3"/>
      <c r="H305" s="3"/>
      <c r="I305" s="3"/>
      <c r="J305" s="3"/>
      <c r="K305" s="3"/>
      <c r="L305" s="3"/>
      <c r="N305" s="10"/>
      <c r="O305" s="3"/>
      <c r="P305" s="3"/>
      <c r="Q305" s="3"/>
    </row>
    <row r="306" spans="2:17" x14ac:dyDescent="0.25">
      <c r="B306" t="s">
        <v>510</v>
      </c>
      <c r="E306" s="2"/>
      <c r="G306" s="3"/>
      <c r="H306" s="3"/>
      <c r="I306" s="3"/>
      <c r="J306" s="3"/>
      <c r="K306" s="3"/>
      <c r="L306" s="3"/>
      <c r="N306" s="10"/>
      <c r="O306" s="3"/>
      <c r="P306" s="3"/>
      <c r="Q306" s="3"/>
    </row>
    <row r="307" spans="2:17" x14ac:dyDescent="0.25">
      <c r="E307" s="2">
        <v>35425</v>
      </c>
      <c r="F307" s="13">
        <f ca="1">E307+(365.25*O307)</f>
        <v>41659.267123287675</v>
      </c>
      <c r="G307" s="3">
        <v>75.78</v>
      </c>
      <c r="H307" s="3">
        <f>1000/G307</f>
        <v>13.196093956188967</v>
      </c>
      <c r="I307" s="3">
        <v>1</v>
      </c>
      <c r="J307" s="3">
        <f>H307*SUM(S232:S298)</f>
        <v>468.91000263921865</v>
      </c>
      <c r="K307" s="3">
        <v>0</v>
      </c>
      <c r="L307" s="3">
        <f>'Data (ignore)'!$B$1188</f>
        <v>184.66</v>
      </c>
      <c r="M307" s="15">
        <v>-1000</v>
      </c>
      <c r="N307" s="10">
        <f t="shared" ref="N307:N316" si="70">H307*I307*L307+(J307)+(K307)</f>
        <v>2905.7007125890732</v>
      </c>
      <c r="O307" s="3">
        <f ca="1">($AA$17-E307)/365</f>
        <v>17.068493150684933</v>
      </c>
      <c r="P307" s="12">
        <f t="shared" ref="P307:P324" si="71">(N307-1000)/1000</f>
        <v>1.9057007125890733</v>
      </c>
      <c r="Q307" s="12">
        <f ca="1">(N307/1000)^(1/O307)-1</f>
        <v>6.4487832449410254E-2</v>
      </c>
    </row>
    <row r="308" spans="2:17" x14ac:dyDescent="0.25">
      <c r="E308" s="2">
        <v>35439</v>
      </c>
      <c r="F308" s="13">
        <f t="shared" ref="F308:F371" ca="1" si="72">E308+(365.25*O308)</f>
        <v>41659.257534246572</v>
      </c>
      <c r="G308" s="3">
        <v>75.31</v>
      </c>
      <c r="H308" s="3">
        <f t="shared" ref="H308:H370" si="73">1000/G308</f>
        <v>13.278449077147789</v>
      </c>
      <c r="I308" s="3">
        <v>1</v>
      </c>
      <c r="J308" s="3">
        <f>H308*SUM(S233:S298)</f>
        <v>467.3217368211391</v>
      </c>
      <c r="K308" s="3">
        <v>0</v>
      </c>
      <c r="L308" s="3">
        <f>'Data (ignore)'!$B$1188</f>
        <v>184.66</v>
      </c>
      <c r="M308" s="15">
        <v>-1000</v>
      </c>
      <c r="N308" s="10">
        <f t="shared" si="70"/>
        <v>2919.3201434072498</v>
      </c>
      <c r="O308" s="3">
        <f ca="1">($AA$17-E308)/365</f>
        <v>17.030136986301368</v>
      </c>
      <c r="P308" s="12">
        <f t="shared" si="71"/>
        <v>1.9193201434072498</v>
      </c>
      <c r="Q308" s="12">
        <f ca="1">(N308/1000)^(1/O308)-1</f>
        <v>6.4930043377429802E-2</v>
      </c>
    </row>
    <row r="309" spans="2:17" x14ac:dyDescent="0.25">
      <c r="E309" s="2">
        <v>35528</v>
      </c>
      <c r="F309" s="13">
        <f t="shared" ca="1" si="72"/>
        <v>41659.196575342467</v>
      </c>
      <c r="G309" s="3">
        <v>76.69</v>
      </c>
      <c r="H309" s="3">
        <f t="shared" si="73"/>
        <v>13.039509714434738</v>
      </c>
      <c r="I309" s="3">
        <v>1</v>
      </c>
      <c r="J309" s="3">
        <f>H309*SUM(S234:S298)</f>
        <v>454.34867648976393</v>
      </c>
      <c r="K309" s="3">
        <v>0</v>
      </c>
      <c r="L309" s="3">
        <f>'Data (ignore)'!$B$1188</f>
        <v>184.66</v>
      </c>
      <c r="M309" s="15">
        <v>-1000</v>
      </c>
      <c r="N309" s="10">
        <f t="shared" si="70"/>
        <v>2862.2245403572824</v>
      </c>
      <c r="O309" s="3">
        <f ca="1">($AA$17-E309)/365</f>
        <v>16.786301369863015</v>
      </c>
      <c r="P309" s="12">
        <f t="shared" si="71"/>
        <v>1.8622245403572824</v>
      </c>
      <c r="Q309" s="12">
        <f ca="1">(N309/1000)^(1/O309)-1</f>
        <v>6.4650171746871044E-2</v>
      </c>
    </row>
    <row r="310" spans="2:17" x14ac:dyDescent="0.25">
      <c r="E310" s="2">
        <v>35541</v>
      </c>
      <c r="F310" s="13">
        <f t="shared" si="72"/>
        <v>36629.745205479456</v>
      </c>
      <c r="G310" s="3">
        <v>76.06</v>
      </c>
      <c r="H310" s="3">
        <f t="shared" si="73"/>
        <v>13.147515119642387</v>
      </c>
      <c r="I310" s="3">
        <v>1</v>
      </c>
      <c r="J310" s="3">
        <f>H310*SUM(S232:S243)</f>
        <v>55.364186168814086</v>
      </c>
      <c r="K310" s="3">
        <v>0</v>
      </c>
      <c r="L310" s="3">
        <v>144.25</v>
      </c>
      <c r="M310" s="15">
        <v>-1000</v>
      </c>
      <c r="N310" s="10">
        <f t="shared" si="70"/>
        <v>1951.8932421772283</v>
      </c>
      <c r="O310" s="3">
        <f>(DATE(2000,4,13)-E310)/365</f>
        <v>2.9808219178082194</v>
      </c>
      <c r="P310" s="12">
        <f t="shared" si="71"/>
        <v>0.95189324217722837</v>
      </c>
      <c r="Q310" s="12">
        <f>(N310/1000)^(1/O310)-1</f>
        <v>0.25153097049282391</v>
      </c>
    </row>
    <row r="311" spans="2:17" x14ac:dyDescent="0.25">
      <c r="E311" s="2">
        <v>35710</v>
      </c>
      <c r="F311" s="13">
        <f t="shared" si="72"/>
        <v>40394.206164383562</v>
      </c>
      <c r="G311" s="3">
        <v>98.19</v>
      </c>
      <c r="H311" s="3">
        <f t="shared" si="73"/>
        <v>10.184336490477646</v>
      </c>
      <c r="I311" s="3">
        <v>1</v>
      </c>
      <c r="J311" s="3">
        <f>H311*SUM(S234:S284)</f>
        <v>250.11711986964048</v>
      </c>
      <c r="K311" s="3">
        <v>0</v>
      </c>
      <c r="L311" s="3">
        <v>112.76</v>
      </c>
      <c r="M311" s="15">
        <v>-1000</v>
      </c>
      <c r="N311" s="10">
        <f t="shared" si="70"/>
        <v>1398.5029025358999</v>
      </c>
      <c r="O311" s="3">
        <f>(DATE(2010,8,1)-E311)/365</f>
        <v>12.824657534246576</v>
      </c>
      <c r="P311" s="12">
        <f t="shared" si="71"/>
        <v>0.39850290253589993</v>
      </c>
      <c r="Q311" s="12">
        <f>(N311/1000)^(1/O311)-1</f>
        <v>2.6497913862936207E-2</v>
      </c>
    </row>
    <row r="312" spans="2:17" x14ac:dyDescent="0.25">
      <c r="E312" s="2">
        <v>35902</v>
      </c>
      <c r="F312" s="13">
        <f t="shared" si="72"/>
        <v>36308.278082191784</v>
      </c>
      <c r="G312" s="3">
        <v>112.28</v>
      </c>
      <c r="H312" s="3">
        <f t="shared" si="73"/>
        <v>8.9063056644104019</v>
      </c>
      <c r="I312" s="3">
        <v>1</v>
      </c>
      <c r="J312" s="3">
        <f>H312*SUM(S236:S239)</f>
        <v>12.459921624510153</v>
      </c>
      <c r="K312" s="3">
        <v>0</v>
      </c>
      <c r="L312" s="3">
        <v>130.19999999999999</v>
      </c>
      <c r="M312" s="15">
        <v>-1000</v>
      </c>
      <c r="N312" s="10">
        <f t="shared" si="70"/>
        <v>1172.0609191307444</v>
      </c>
      <c r="O312" s="3">
        <f>(DATE(1999,5,28)-E312)/365</f>
        <v>1.1123287671232878</v>
      </c>
      <c r="P312" s="12">
        <f t="shared" si="71"/>
        <v>0.17206091913074442</v>
      </c>
      <c r="Q312" s="12">
        <f>P312/O312</f>
        <v>0.15468530907074313</v>
      </c>
    </row>
    <row r="313" spans="2:17" x14ac:dyDescent="0.25">
      <c r="E313" s="2">
        <v>36020</v>
      </c>
      <c r="F313" s="13">
        <f t="shared" si="72"/>
        <v>36567.374657534245</v>
      </c>
      <c r="G313" s="3">
        <v>107.37</v>
      </c>
      <c r="H313" s="3">
        <f t="shared" si="73"/>
        <v>9.3135885256589361</v>
      </c>
      <c r="I313" s="3">
        <v>1</v>
      </c>
      <c r="J313" s="3">
        <f>H313*SUM(S237:S242)</f>
        <v>19.642358200614698</v>
      </c>
      <c r="K313" s="3">
        <v>0</v>
      </c>
      <c r="L313" s="3">
        <v>138.69</v>
      </c>
      <c r="M313" s="15">
        <v>-1000</v>
      </c>
      <c r="N313" s="10">
        <f t="shared" si="70"/>
        <v>1311.3439508242527</v>
      </c>
      <c r="O313" s="3">
        <f>(DATE(2000,2,11)-E313)/365</f>
        <v>1.4986301369863013</v>
      </c>
      <c r="P313" s="12">
        <f t="shared" si="71"/>
        <v>0.3113439508242527</v>
      </c>
      <c r="Q313" s="12">
        <f>(N313/1000)^(1/O313)-1</f>
        <v>0.19825563355861342</v>
      </c>
    </row>
    <row r="314" spans="2:17" x14ac:dyDescent="0.25">
      <c r="E314" s="2">
        <v>36115</v>
      </c>
      <c r="F314" s="13">
        <f t="shared" si="72"/>
        <v>36308.132191780824</v>
      </c>
      <c r="G314" s="3">
        <v>114.06</v>
      </c>
      <c r="H314" s="3">
        <f t="shared" si="73"/>
        <v>8.7673154480098194</v>
      </c>
      <c r="I314" s="3">
        <v>1</v>
      </c>
      <c r="J314" s="3">
        <f>H314*SUM(S238:S239)</f>
        <v>6.1634227599509028</v>
      </c>
      <c r="K314" s="3">
        <v>0</v>
      </c>
      <c r="L314" s="3">
        <v>130.19999999999999</v>
      </c>
      <c r="M314" s="15">
        <v>-1000</v>
      </c>
      <c r="N314" s="10">
        <f t="shared" si="70"/>
        <v>1147.6678940908293</v>
      </c>
      <c r="O314" s="3">
        <f>(DATE(1999,5,28)-E314)/365</f>
        <v>0.52876712328767128</v>
      </c>
      <c r="P314" s="12">
        <f t="shared" si="71"/>
        <v>0.14766789409082934</v>
      </c>
      <c r="Q314" s="12">
        <f>P314/O314</f>
        <v>0.27926829711478085</v>
      </c>
    </row>
    <row r="315" spans="2:17" x14ac:dyDescent="0.25">
      <c r="E315" s="2">
        <v>36480</v>
      </c>
      <c r="F315" s="13">
        <f t="shared" ca="1" si="72"/>
        <v>41658.544520547948</v>
      </c>
      <c r="G315" s="3">
        <v>141.25</v>
      </c>
      <c r="H315" s="3">
        <f t="shared" si="73"/>
        <v>7.0796460176991154</v>
      </c>
      <c r="I315" s="3">
        <v>1</v>
      </c>
      <c r="J315" s="3">
        <f>H315*SUM(S242:S298)</f>
        <v>226.84601769911501</v>
      </c>
      <c r="K315" s="3">
        <v>0</v>
      </c>
      <c r="L315" s="3">
        <f>'Data (ignore)'!$B$1188</f>
        <v>184.66</v>
      </c>
      <c r="M315" s="15">
        <v>-1000</v>
      </c>
      <c r="N315" s="10">
        <f t="shared" si="70"/>
        <v>1534.1734513274337</v>
      </c>
      <c r="O315" s="3">
        <f ca="1">($AA$17-E315)/365</f>
        <v>14.178082191780822</v>
      </c>
      <c r="P315" s="12">
        <f t="shared" si="71"/>
        <v>0.53417345132743366</v>
      </c>
      <c r="Q315" s="12">
        <f t="shared" ref="Q315:Q365" ca="1" si="74">(N315/1000)^(1/O315)-1</f>
        <v>3.0647101634321494E-2</v>
      </c>
    </row>
    <row r="316" spans="2:17" x14ac:dyDescent="0.25">
      <c r="E316" s="2">
        <v>36599</v>
      </c>
      <c r="F316" s="13">
        <f t="shared" si="72"/>
        <v>39016.654794520546</v>
      </c>
      <c r="G316" s="3">
        <v>136.63</v>
      </c>
      <c r="H316" s="3">
        <f t="shared" si="73"/>
        <v>7.3190368147551785</v>
      </c>
      <c r="I316" s="3">
        <v>1</v>
      </c>
      <c r="J316" s="3">
        <f>H316*SUM(S243:S269)</f>
        <v>87.872355997950692</v>
      </c>
      <c r="K316" s="3">
        <v>0</v>
      </c>
      <c r="L316" s="3">
        <v>138.35</v>
      </c>
      <c r="M316" s="15">
        <v>-1000</v>
      </c>
      <c r="N316" s="10">
        <f t="shared" si="70"/>
        <v>1100.4610993193296</v>
      </c>
      <c r="O316" s="3">
        <f>(DATE(2006,10,25)-E316)/365</f>
        <v>6.6191780821917812</v>
      </c>
      <c r="P316" s="12">
        <f t="shared" si="71"/>
        <v>0.1004610993193296</v>
      </c>
      <c r="Q316" s="12">
        <f t="shared" si="74"/>
        <v>1.4567497544299313E-2</v>
      </c>
    </row>
    <row r="317" spans="2:17" x14ac:dyDescent="0.25">
      <c r="E317" s="2">
        <v>36599</v>
      </c>
      <c r="F317" s="13">
        <f t="shared" ca="1" si="72"/>
        <v>41658.463013698631</v>
      </c>
      <c r="G317" s="3">
        <v>136.63</v>
      </c>
      <c r="H317" s="3">
        <f t="shared" si="73"/>
        <v>7.3190368147551785</v>
      </c>
      <c r="I317" s="3">
        <v>1</v>
      </c>
      <c r="J317" s="3">
        <f>H317*SUM(S243:S298)</f>
        <v>231.96955280685063</v>
      </c>
      <c r="K317" s="3">
        <v>0</v>
      </c>
      <c r="L317" s="3">
        <f>'Data (ignore)'!$B$1188</f>
        <v>184.66</v>
      </c>
      <c r="M317" s="15">
        <v>-1000</v>
      </c>
      <c r="N317" s="10">
        <f t="shared" ref="N317:N332" si="75">H317*I317*L317+(J317)+(K317)</f>
        <v>1583.5028910195419</v>
      </c>
      <c r="O317" s="3">
        <f t="shared" ref="O317:O326" ca="1" si="76">($AA$17-E317)/365</f>
        <v>13.852054794520548</v>
      </c>
      <c r="P317" s="12">
        <f t="shared" si="71"/>
        <v>0.583502891019542</v>
      </c>
      <c r="Q317" s="12">
        <f t="shared" ca="1" si="74"/>
        <v>3.373870214917063E-2</v>
      </c>
    </row>
    <row r="318" spans="2:17" x14ac:dyDescent="0.25">
      <c r="E318" s="2">
        <v>36599</v>
      </c>
      <c r="F318" s="13">
        <f t="shared" ca="1" si="72"/>
        <v>41658.463013698631</v>
      </c>
      <c r="G318" s="3">
        <v>136.63</v>
      </c>
      <c r="H318" s="3">
        <f t="shared" si="73"/>
        <v>7.3190368147551785</v>
      </c>
      <c r="I318" s="3">
        <v>1</v>
      </c>
      <c r="J318" s="3">
        <f>H318*SUM(S243:S298)</f>
        <v>231.96955280685063</v>
      </c>
      <c r="K318" s="3">
        <v>0</v>
      </c>
      <c r="L318" s="3">
        <f>'Data (ignore)'!$B$1188</f>
        <v>184.66</v>
      </c>
      <c r="M318" s="15">
        <v>-1000</v>
      </c>
      <c r="N318" s="10">
        <f t="shared" si="75"/>
        <v>1583.5028910195419</v>
      </c>
      <c r="O318" s="3">
        <f t="shared" ca="1" si="76"/>
        <v>13.852054794520548</v>
      </c>
      <c r="P318" s="12">
        <f t="shared" si="71"/>
        <v>0.583502891019542</v>
      </c>
      <c r="Q318" s="12">
        <f t="shared" ca="1" si="74"/>
        <v>3.373870214917063E-2</v>
      </c>
    </row>
    <row r="319" spans="2:17" x14ac:dyDescent="0.25">
      <c r="E319" s="2">
        <v>36599</v>
      </c>
      <c r="F319" s="13">
        <f t="shared" ca="1" si="72"/>
        <v>41658.463013698631</v>
      </c>
      <c r="G319" s="3">
        <v>136.63</v>
      </c>
      <c r="H319" s="3">
        <f t="shared" si="73"/>
        <v>7.3190368147551785</v>
      </c>
      <c r="I319" s="3">
        <v>1</v>
      </c>
      <c r="J319" s="3">
        <f>H319*SUM(S243:S298)</f>
        <v>231.96955280685063</v>
      </c>
      <c r="K319" s="3">
        <v>0</v>
      </c>
      <c r="L319" s="3">
        <f>'Data (ignore)'!$B$1188</f>
        <v>184.66</v>
      </c>
      <c r="M319" s="15">
        <v>-1000</v>
      </c>
      <c r="N319" s="10">
        <f t="shared" si="75"/>
        <v>1583.5028910195419</v>
      </c>
      <c r="O319" s="3">
        <f t="shared" ca="1" si="76"/>
        <v>13.852054794520548</v>
      </c>
      <c r="P319" s="12">
        <f t="shared" si="71"/>
        <v>0.583502891019542</v>
      </c>
      <c r="Q319" s="12">
        <f t="shared" ca="1" si="74"/>
        <v>3.373870214917063E-2</v>
      </c>
    </row>
    <row r="320" spans="2:17" x14ac:dyDescent="0.25">
      <c r="E320" s="2">
        <v>36599</v>
      </c>
      <c r="F320" s="13">
        <f t="shared" ca="1" si="72"/>
        <v>41658.463013698631</v>
      </c>
      <c r="G320" s="3">
        <v>136.63</v>
      </c>
      <c r="H320" s="3">
        <f t="shared" si="73"/>
        <v>7.3190368147551785</v>
      </c>
      <c r="I320" s="3">
        <v>1</v>
      </c>
      <c r="J320" s="3">
        <f>H320*SUM(S243:S298)</f>
        <v>231.96955280685063</v>
      </c>
      <c r="K320" s="3">
        <v>0</v>
      </c>
      <c r="L320" s="3">
        <f>'Data (ignore)'!$B$1188</f>
        <v>184.66</v>
      </c>
      <c r="M320" s="15">
        <v>-1000</v>
      </c>
      <c r="N320" s="10">
        <f t="shared" si="75"/>
        <v>1583.5028910195419</v>
      </c>
      <c r="O320" s="3">
        <f t="shared" ca="1" si="76"/>
        <v>13.852054794520548</v>
      </c>
      <c r="P320" s="12">
        <f t="shared" si="71"/>
        <v>0.583502891019542</v>
      </c>
      <c r="Q320" s="12">
        <f t="shared" ca="1" si="74"/>
        <v>3.373870214917063E-2</v>
      </c>
    </row>
    <row r="321" spans="5:17" x14ac:dyDescent="0.25">
      <c r="E321" s="2">
        <v>36649</v>
      </c>
      <c r="F321" s="13">
        <f t="shared" ca="1" si="72"/>
        <v>41658.428767123289</v>
      </c>
      <c r="G321" s="3">
        <v>140.75</v>
      </c>
      <c r="H321" s="3">
        <f t="shared" si="73"/>
        <v>7.1047957371225579</v>
      </c>
      <c r="I321" s="3">
        <v>1</v>
      </c>
      <c r="J321" s="3">
        <f>H321*SUM(S244:S298)</f>
        <v>222.54351687388987</v>
      </c>
      <c r="K321" s="3">
        <v>0</v>
      </c>
      <c r="L321" s="3">
        <f>'Data (ignore)'!$B$1188</f>
        <v>184.66</v>
      </c>
      <c r="M321" s="15">
        <v>-1000</v>
      </c>
      <c r="N321" s="10">
        <f t="shared" si="75"/>
        <v>1534.5150976909413</v>
      </c>
      <c r="O321" s="3">
        <f t="shared" ca="1" si="76"/>
        <v>13.715068493150685</v>
      </c>
      <c r="P321" s="12">
        <f t="shared" si="71"/>
        <v>0.5345150976909413</v>
      </c>
      <c r="Q321" s="12">
        <f t="shared" ca="1" si="74"/>
        <v>3.1714712067842488E-2</v>
      </c>
    </row>
    <row r="322" spans="5:17" x14ac:dyDescent="0.25">
      <c r="E322" s="2">
        <v>36649</v>
      </c>
      <c r="F322" s="13">
        <f t="shared" ca="1" si="72"/>
        <v>41658.428767123289</v>
      </c>
      <c r="G322" s="3">
        <v>140.75</v>
      </c>
      <c r="H322" s="3">
        <f t="shared" si="73"/>
        <v>7.1047957371225579</v>
      </c>
      <c r="I322" s="3">
        <v>1</v>
      </c>
      <c r="J322" s="3">
        <f>H322*SUM(S244:S298)</f>
        <v>222.54351687388987</v>
      </c>
      <c r="K322" s="3">
        <v>0</v>
      </c>
      <c r="L322" s="3">
        <f>'Data (ignore)'!$B$1188</f>
        <v>184.66</v>
      </c>
      <c r="M322" s="15">
        <v>-1000</v>
      </c>
      <c r="N322" s="10">
        <f t="shared" si="75"/>
        <v>1534.5150976909413</v>
      </c>
      <c r="O322" s="3">
        <f t="shared" ca="1" si="76"/>
        <v>13.715068493150685</v>
      </c>
      <c r="P322" s="12">
        <f t="shared" si="71"/>
        <v>0.5345150976909413</v>
      </c>
      <c r="Q322" s="12">
        <f t="shared" ca="1" si="74"/>
        <v>3.1714712067842488E-2</v>
      </c>
    </row>
    <row r="323" spans="5:17" x14ac:dyDescent="0.25">
      <c r="E323" s="2">
        <v>36649</v>
      </c>
      <c r="F323" s="13">
        <f t="shared" ca="1" si="72"/>
        <v>41658.428767123289</v>
      </c>
      <c r="G323" s="3">
        <v>140.75</v>
      </c>
      <c r="H323" s="3">
        <f t="shared" si="73"/>
        <v>7.1047957371225579</v>
      </c>
      <c r="I323" s="3">
        <v>1</v>
      </c>
      <c r="J323" s="3">
        <f>H323*SUM(S244:S298)</f>
        <v>222.54351687388987</v>
      </c>
      <c r="K323" s="3">
        <v>0</v>
      </c>
      <c r="L323" s="3">
        <f>'Data (ignore)'!$B$1188</f>
        <v>184.66</v>
      </c>
      <c r="M323" s="15">
        <v>-1000</v>
      </c>
      <c r="N323" s="10">
        <f t="shared" si="75"/>
        <v>1534.5150976909413</v>
      </c>
      <c r="O323" s="3">
        <f t="shared" ca="1" si="76"/>
        <v>13.715068493150685</v>
      </c>
      <c r="P323" s="12">
        <f t="shared" si="71"/>
        <v>0.5345150976909413</v>
      </c>
      <c r="Q323" s="12">
        <f t="shared" ca="1" si="74"/>
        <v>3.1714712067842488E-2</v>
      </c>
    </row>
    <row r="324" spans="5:17" x14ac:dyDescent="0.25">
      <c r="E324" s="2">
        <v>36731</v>
      </c>
      <c r="F324" s="13">
        <f t="shared" ca="1" si="72"/>
        <v>41658.372602739728</v>
      </c>
      <c r="G324" s="3">
        <v>146.84</v>
      </c>
      <c r="H324" s="3">
        <f t="shared" si="73"/>
        <v>6.8101334786161809</v>
      </c>
      <c r="I324" s="3">
        <v>1</v>
      </c>
      <c r="J324" s="3">
        <f>H324*SUM(S245:S298)</f>
        <v>210.94388450013619</v>
      </c>
      <c r="K324" s="3">
        <v>0</v>
      </c>
      <c r="L324" s="3">
        <f>'Data (ignore)'!$B$1188</f>
        <v>184.66</v>
      </c>
      <c r="M324" s="15">
        <v>-1000</v>
      </c>
      <c r="N324" s="10">
        <f t="shared" si="75"/>
        <v>1468.5031326614001</v>
      </c>
      <c r="O324" s="3">
        <f t="shared" ca="1" si="76"/>
        <v>13.490410958904109</v>
      </c>
      <c r="P324" s="12">
        <f t="shared" si="71"/>
        <v>0.46850313266140003</v>
      </c>
      <c r="Q324" s="12">
        <f t="shared" ca="1" si="74"/>
        <v>2.8892231946796132E-2</v>
      </c>
    </row>
    <row r="325" spans="5:17" x14ac:dyDescent="0.25">
      <c r="E325" s="2">
        <v>36760</v>
      </c>
      <c r="F325" s="13">
        <f t="shared" ca="1" si="72"/>
        <v>41658.352739726026</v>
      </c>
      <c r="G325" s="3">
        <v>150.25</v>
      </c>
      <c r="H325" s="3">
        <f t="shared" si="73"/>
        <v>6.6555740432612316</v>
      </c>
      <c r="I325" s="3">
        <v>1</v>
      </c>
      <c r="J325" s="3">
        <f>H325*SUM(S245:S298)</f>
        <v>206.15640599001662</v>
      </c>
      <c r="K325" s="3">
        <v>0</v>
      </c>
      <c r="L325" s="3">
        <f>'Data (ignore)'!$B$1188</f>
        <v>184.66</v>
      </c>
      <c r="M325" s="15">
        <v>-1000</v>
      </c>
      <c r="N325" s="10">
        <f t="shared" si="75"/>
        <v>1435.1747088186355</v>
      </c>
      <c r="O325" s="3">
        <f t="shared" ca="1" si="76"/>
        <v>13.41095890410959</v>
      </c>
      <c r="P325" s="12">
        <f>(N325-1000)/1000</f>
        <v>0.43517470881863551</v>
      </c>
      <c r="Q325" s="12">
        <f t="shared" ca="1" si="74"/>
        <v>2.7305806899167395E-2</v>
      </c>
    </row>
    <row r="326" spans="5:17" x14ac:dyDescent="0.25">
      <c r="E326" s="2">
        <v>36760</v>
      </c>
      <c r="F326" s="13">
        <f t="shared" ca="1" si="72"/>
        <v>41658.352739726026</v>
      </c>
      <c r="G326" s="3">
        <v>150.25</v>
      </c>
      <c r="H326" s="3">
        <f t="shared" si="73"/>
        <v>6.6555740432612316</v>
      </c>
      <c r="I326" s="3">
        <v>1</v>
      </c>
      <c r="J326" s="3">
        <f>H326*SUM(S245:S298)</f>
        <v>206.15640599001662</v>
      </c>
      <c r="K326" s="3">
        <v>0</v>
      </c>
      <c r="L326" s="3">
        <f>'Data (ignore)'!$B$1188</f>
        <v>184.66</v>
      </c>
      <c r="M326" s="15">
        <v>-1000</v>
      </c>
      <c r="N326" s="10">
        <f t="shared" si="75"/>
        <v>1435.1747088186355</v>
      </c>
      <c r="O326" s="3">
        <f t="shared" ca="1" si="76"/>
        <v>13.41095890410959</v>
      </c>
      <c r="P326" s="12">
        <f>(N326-1000)/1000</f>
        <v>0.43517470881863551</v>
      </c>
      <c r="Q326" s="12">
        <f t="shared" ca="1" si="74"/>
        <v>2.7305806899167395E-2</v>
      </c>
    </row>
    <row r="327" spans="5:17" x14ac:dyDescent="0.25">
      <c r="E327" s="2">
        <v>36760</v>
      </c>
      <c r="F327" s="13">
        <f t="shared" si="72"/>
        <v>39004.536301369866</v>
      </c>
      <c r="G327" s="3">
        <v>150.25</v>
      </c>
      <c r="H327" s="3">
        <f t="shared" si="73"/>
        <v>6.6555740432612316</v>
      </c>
      <c r="I327" s="3">
        <v>1</v>
      </c>
      <c r="J327" s="3">
        <f>H327*SUM(S245:S268)</f>
        <v>71.267886855241287</v>
      </c>
      <c r="K327" s="3">
        <v>0</v>
      </c>
      <c r="L327" s="3">
        <v>136.63</v>
      </c>
      <c r="M327" s="15">
        <v>-1000</v>
      </c>
      <c r="N327" s="10">
        <f t="shared" si="75"/>
        <v>980.61896838602331</v>
      </c>
      <c r="O327" s="3">
        <f>(DATE(2006,10,13)-E327)/365</f>
        <v>6.1452054794520548</v>
      </c>
      <c r="P327" s="12">
        <f>(N327-1000)/1000</f>
        <v>-1.9381031613976689E-2</v>
      </c>
      <c r="Q327" s="12">
        <f t="shared" si="74"/>
        <v>-3.179742969765198E-3</v>
      </c>
    </row>
    <row r="328" spans="5:17" x14ac:dyDescent="0.25">
      <c r="E328" s="2">
        <v>36760</v>
      </c>
      <c r="F328" s="13">
        <f t="shared" si="72"/>
        <v>38996.530821917811</v>
      </c>
      <c r="G328" s="3">
        <v>150.25</v>
      </c>
      <c r="H328" s="3">
        <f t="shared" si="73"/>
        <v>6.6555740432612316</v>
      </c>
      <c r="I328" s="3">
        <v>1</v>
      </c>
      <c r="J328" s="3">
        <f>H328*SUM(S245:S268)</f>
        <v>71.267886855241287</v>
      </c>
      <c r="K328" s="3">
        <v>0</v>
      </c>
      <c r="L328" s="3">
        <v>134.91999999999999</v>
      </c>
      <c r="M328" s="15">
        <v>-1000</v>
      </c>
      <c r="N328" s="10">
        <f t="shared" si="75"/>
        <v>969.23793677204651</v>
      </c>
      <c r="O328" s="3">
        <f>(DATE(2006,10,5)-E328)/365</f>
        <v>6.1232876712328768</v>
      </c>
      <c r="P328" s="12">
        <f>(N328-1000)/1000</f>
        <v>-3.0762063227953489E-2</v>
      </c>
      <c r="Q328" s="12">
        <f t="shared" si="74"/>
        <v>-5.0896787178266178E-3</v>
      </c>
    </row>
    <row r="329" spans="5:17" x14ac:dyDescent="0.25">
      <c r="E329" s="2">
        <v>36760</v>
      </c>
      <c r="F329" s="13">
        <f t="shared" si="72"/>
        <v>37663.618493150687</v>
      </c>
      <c r="G329" s="3">
        <v>150.25</v>
      </c>
      <c r="H329" s="3">
        <f t="shared" si="73"/>
        <v>6.6555740432612316</v>
      </c>
      <c r="I329" s="3">
        <v>1</v>
      </c>
      <c r="J329" s="3">
        <f>H329*SUM(S245:S254)</f>
        <v>24.346089850249587</v>
      </c>
      <c r="K329" s="3">
        <v>0</v>
      </c>
      <c r="L329" s="3">
        <v>83.43</v>
      </c>
      <c r="M329" s="15">
        <v>-1000</v>
      </c>
      <c r="N329" s="10">
        <f t="shared" si="75"/>
        <v>579.62063227953411</v>
      </c>
      <c r="O329" s="3">
        <f>(DATE(2003,2,11)-E329)/365</f>
        <v>2.473972602739726</v>
      </c>
      <c r="P329" s="12">
        <f t="shared" ref="P329:P365" si="77">(N329-1000)/1000</f>
        <v>-0.42037936772046591</v>
      </c>
      <c r="Q329" s="12">
        <f t="shared" si="74"/>
        <v>-0.19784037737927918</v>
      </c>
    </row>
    <row r="330" spans="5:17" x14ac:dyDescent="0.25">
      <c r="E330" s="2">
        <v>36760</v>
      </c>
      <c r="F330" s="13">
        <f t="shared" ca="1" si="72"/>
        <v>41658.352739726026</v>
      </c>
      <c r="G330" s="3">
        <v>150.25</v>
      </c>
      <c r="H330" s="3">
        <f t="shared" si="73"/>
        <v>6.6555740432612316</v>
      </c>
      <c r="I330" s="3">
        <v>1</v>
      </c>
      <c r="J330" s="3">
        <f>H330*SUM(S245:S298)</f>
        <v>206.15640599001662</v>
      </c>
      <c r="K330" s="3">
        <v>0</v>
      </c>
      <c r="L330" s="3">
        <f>'Data (ignore)'!$B$1188</f>
        <v>184.66</v>
      </c>
      <c r="M330" s="15">
        <v>-1000</v>
      </c>
      <c r="N330" s="10">
        <f t="shared" si="75"/>
        <v>1435.1747088186355</v>
      </c>
      <c r="O330" s="3">
        <f ca="1">($AA$17-E330)/365</f>
        <v>13.41095890410959</v>
      </c>
      <c r="P330" s="12">
        <f t="shared" si="77"/>
        <v>0.43517470881863551</v>
      </c>
      <c r="Q330" s="12">
        <f t="shared" ca="1" si="74"/>
        <v>2.7305806899167395E-2</v>
      </c>
    </row>
    <row r="331" spans="5:17" x14ac:dyDescent="0.25">
      <c r="E331" s="2">
        <v>36798</v>
      </c>
      <c r="F331" s="13">
        <f t="shared" ca="1" si="72"/>
        <v>41658.326712328766</v>
      </c>
      <c r="G331" s="3">
        <v>143.63</v>
      </c>
      <c r="H331" s="3">
        <f t="shared" si="73"/>
        <v>6.9623337742811389</v>
      </c>
      <c r="I331" s="3">
        <v>1</v>
      </c>
      <c r="J331" s="3">
        <f>H331*SUM(S245:S298)</f>
        <v>215.65828865835826</v>
      </c>
      <c r="K331" s="3">
        <v>0</v>
      </c>
      <c r="L331" s="3">
        <f>'Data (ignore)'!$B$1188</f>
        <v>184.66</v>
      </c>
      <c r="M331" s="15">
        <v>-1000</v>
      </c>
      <c r="N331" s="10">
        <f t="shared" si="75"/>
        <v>1501.3228434171133</v>
      </c>
      <c r="O331" s="3">
        <f ca="1">($AA$17-E331)/365</f>
        <v>13.306849315068494</v>
      </c>
      <c r="P331" s="12">
        <f t="shared" si="77"/>
        <v>0.50132284341711331</v>
      </c>
      <c r="Q331" s="12">
        <f t="shared" ca="1" si="74"/>
        <v>3.1007676945301377E-2</v>
      </c>
    </row>
    <row r="332" spans="5:17" x14ac:dyDescent="0.25">
      <c r="E332" s="2">
        <v>36811</v>
      </c>
      <c r="F332" s="13">
        <f t="shared" si="72"/>
        <v>37226.284246575342</v>
      </c>
      <c r="G332" s="3">
        <v>133.13</v>
      </c>
      <c r="H332" s="3">
        <f t="shared" si="73"/>
        <v>7.5114549688274623</v>
      </c>
      <c r="I332" s="3">
        <v>1</v>
      </c>
      <c r="J332" s="3">
        <f>H332*SUM(S246:S249)</f>
        <v>10.455945316607826</v>
      </c>
      <c r="K332" s="3">
        <v>0</v>
      </c>
      <c r="L332" s="3">
        <v>113.37</v>
      </c>
      <c r="M332" s="15">
        <v>-1000</v>
      </c>
      <c r="N332" s="10">
        <f t="shared" si="75"/>
        <v>862.02959513257736</v>
      </c>
      <c r="O332" s="3">
        <f>(DATE(2001,12,1)-E332)/365</f>
        <v>1.1369863013698631</v>
      </c>
      <c r="P332" s="12">
        <f t="shared" si="77"/>
        <v>-0.13797040486742265</v>
      </c>
      <c r="Q332" s="12">
        <f t="shared" si="74"/>
        <v>-0.12241217658576686</v>
      </c>
    </row>
    <row r="333" spans="5:17" x14ac:dyDescent="0.25">
      <c r="E333" s="2">
        <v>36868</v>
      </c>
      <c r="F333" s="13">
        <f t="shared" ca="1" si="72"/>
        <v>41658.278767123287</v>
      </c>
      <c r="G333" s="3">
        <v>133.97</v>
      </c>
      <c r="H333" s="3">
        <f t="shared" si="73"/>
        <v>7.4643576920206014</v>
      </c>
      <c r="I333" s="3">
        <v>1</v>
      </c>
      <c r="J333" s="3">
        <f>H333*SUM(S246:S298)</f>
        <v>228.40934537583038</v>
      </c>
      <c r="K333" s="3">
        <v>0</v>
      </c>
      <c r="L333" s="3">
        <f>'Data (ignore)'!$B$1188</f>
        <v>184.66</v>
      </c>
      <c r="M333" s="15">
        <v>-1000</v>
      </c>
      <c r="N333" s="10">
        <f>H333*I333*L333+(J333)+(K333)</f>
        <v>1606.7776367843546</v>
      </c>
      <c r="O333" s="3">
        <f ca="1">($AA$17-E333)/365</f>
        <v>13.115068493150686</v>
      </c>
      <c r="P333" s="12">
        <f t="shared" si="77"/>
        <v>0.60677763678435459</v>
      </c>
      <c r="Q333" s="12">
        <f t="shared" ca="1" si="74"/>
        <v>3.6820920607378183E-2</v>
      </c>
    </row>
    <row r="334" spans="5:17" x14ac:dyDescent="0.25">
      <c r="E334" s="2">
        <v>36894</v>
      </c>
      <c r="F334" s="13">
        <f t="shared" si="72"/>
        <v>37258.24931506849</v>
      </c>
      <c r="G334" s="3">
        <v>135</v>
      </c>
      <c r="H334" s="3">
        <f t="shared" si="73"/>
        <v>7.4074074074074074</v>
      </c>
      <c r="I334" s="3">
        <v>1</v>
      </c>
      <c r="J334" s="3">
        <f>H334*SUM(S246:S249)</f>
        <v>10.31111111111111</v>
      </c>
      <c r="K334" s="3">
        <v>0</v>
      </c>
      <c r="L334" s="3">
        <v>115.53</v>
      </c>
      <c r="M334" s="15">
        <v>-1000</v>
      </c>
      <c r="N334" s="10">
        <f>H334*I334*L334+(J334)+(K334)</f>
        <v>866.08888888888896</v>
      </c>
      <c r="O334" s="3">
        <f>(DATE(2002,1,2)-E334)/365</f>
        <v>0.99726027397260275</v>
      </c>
      <c r="P334" s="12">
        <f t="shared" si="77"/>
        <v>-0.13391111111111104</v>
      </c>
      <c r="Q334" s="12">
        <f t="shared" si="74"/>
        <v>-0.13425311948832908</v>
      </c>
    </row>
    <row r="335" spans="5:17" x14ac:dyDescent="0.25">
      <c r="E335" s="2">
        <v>37046</v>
      </c>
      <c r="F335" s="13">
        <f t="shared" si="72"/>
        <v>37663.422602739724</v>
      </c>
      <c r="G335" s="3">
        <v>127.34</v>
      </c>
      <c r="H335" s="3">
        <f t="shared" si="73"/>
        <v>7.8529919899481699</v>
      </c>
      <c r="I335" s="3">
        <v>1</v>
      </c>
      <c r="J335" s="3">
        <f>H335*SUM(S248:S254)</f>
        <v>20.472750117794877</v>
      </c>
      <c r="K335" s="3">
        <v>0</v>
      </c>
      <c r="L335" s="3">
        <v>83.43</v>
      </c>
      <c r="M335" s="15">
        <v>-1000</v>
      </c>
      <c r="N335" s="10">
        <f>H335*I335*L335+(J335)+(K335)</f>
        <v>675.64787183917076</v>
      </c>
      <c r="O335" s="3">
        <f>(DATE(2003,2,11)-E335)/365</f>
        <v>1.6904109589041096</v>
      </c>
      <c r="P335" s="12">
        <f t="shared" si="77"/>
        <v>-0.32435212816082926</v>
      </c>
      <c r="Q335" s="12">
        <f t="shared" si="74"/>
        <v>-0.20701067085043046</v>
      </c>
    </row>
    <row r="336" spans="5:17" x14ac:dyDescent="0.25">
      <c r="E336" s="2">
        <v>37152</v>
      </c>
      <c r="F336" s="13">
        <f t="shared" si="72"/>
        <v>37329.121232876714</v>
      </c>
      <c r="G336" s="3">
        <v>104.05</v>
      </c>
      <c r="H336" s="3">
        <f t="shared" si="73"/>
        <v>9.6107640557424325</v>
      </c>
      <c r="I336" s="3">
        <v>1</v>
      </c>
      <c r="J336" s="3">
        <f>H336*SUM(S249:S250)</f>
        <v>7.333012974531476</v>
      </c>
      <c r="K336" s="3">
        <v>0</v>
      </c>
      <c r="L336" s="3">
        <v>115.88</v>
      </c>
      <c r="M336" s="15">
        <v>-1000</v>
      </c>
      <c r="N336" s="10">
        <f t="shared" ref="N336:N345" si="78">H336*I336*L336+(J336)+(K336)</f>
        <v>1121.0283517539647</v>
      </c>
      <c r="O336" s="3">
        <f>(DATE(2002,3,14)-E336)/365</f>
        <v>0.48493150684931507</v>
      </c>
      <c r="P336" s="12">
        <f t="shared" si="77"/>
        <v>0.12102835175396467</v>
      </c>
      <c r="Q336" s="12">
        <f t="shared" si="74"/>
        <v>0.26565899532677428</v>
      </c>
    </row>
    <row r="337" spans="5:17" x14ac:dyDescent="0.25">
      <c r="E337" s="2">
        <v>37152</v>
      </c>
      <c r="F337" s="13">
        <f t="shared" si="72"/>
        <v>37329.121232876714</v>
      </c>
      <c r="G337" s="3">
        <v>104.05</v>
      </c>
      <c r="H337" s="3">
        <f t="shared" si="73"/>
        <v>9.6107640557424325</v>
      </c>
      <c r="I337" s="3">
        <v>1</v>
      </c>
      <c r="J337" s="3">
        <f>H337*SUM(S249:S250)</f>
        <v>7.333012974531476</v>
      </c>
      <c r="K337" s="3">
        <v>0</v>
      </c>
      <c r="L337" s="3">
        <v>115.88</v>
      </c>
      <c r="M337" s="15">
        <v>-1000</v>
      </c>
      <c r="N337" s="10">
        <f t="shared" si="78"/>
        <v>1121.0283517539647</v>
      </c>
      <c r="O337" s="3">
        <f>(DATE(2002,3,14)-E337)/365</f>
        <v>0.48493150684931507</v>
      </c>
      <c r="P337" s="12">
        <f t="shared" si="77"/>
        <v>0.12102835175396467</v>
      </c>
      <c r="Q337" s="12">
        <f t="shared" si="74"/>
        <v>0.26565899532677428</v>
      </c>
    </row>
    <row r="338" spans="5:17" x14ac:dyDescent="0.25">
      <c r="E338" s="2">
        <v>37152</v>
      </c>
      <c r="F338" s="13">
        <f t="shared" si="72"/>
        <v>37329.121232876714</v>
      </c>
      <c r="G338" s="3">
        <v>104.05</v>
      </c>
      <c r="H338" s="3">
        <f t="shared" si="73"/>
        <v>9.6107640557424325</v>
      </c>
      <c r="I338" s="3">
        <v>1</v>
      </c>
      <c r="J338" s="3">
        <f>H338*SUM(S249:S250)</f>
        <v>7.333012974531476</v>
      </c>
      <c r="K338" s="3">
        <v>0</v>
      </c>
      <c r="L338" s="3">
        <v>115.88</v>
      </c>
      <c r="M338" s="15">
        <v>-1000</v>
      </c>
      <c r="N338" s="10">
        <f t="shared" si="78"/>
        <v>1121.0283517539647</v>
      </c>
      <c r="O338" s="3">
        <f>(DATE(2002,3,14)-E338)/365</f>
        <v>0.48493150684931507</v>
      </c>
      <c r="P338" s="12">
        <f t="shared" si="77"/>
        <v>0.12102835175396467</v>
      </c>
      <c r="Q338" s="12">
        <f t="shared" si="74"/>
        <v>0.26565899532677428</v>
      </c>
    </row>
    <row r="339" spans="5:17" x14ac:dyDescent="0.25">
      <c r="E339" s="2">
        <v>37152</v>
      </c>
      <c r="F339" s="13">
        <f t="shared" ca="1" si="72"/>
        <v>41658.084246575345</v>
      </c>
      <c r="G339" s="3">
        <v>104.05</v>
      </c>
      <c r="H339" s="3">
        <f t="shared" si="73"/>
        <v>9.6107640557424325</v>
      </c>
      <c r="I339" s="3">
        <v>1</v>
      </c>
      <c r="J339" s="3">
        <f>H339*SUM(S249:S298)</f>
        <v>284.26717924074961</v>
      </c>
      <c r="K339" s="3">
        <v>0</v>
      </c>
      <c r="L339" s="3">
        <f>'Data (ignore)'!$B$1188</f>
        <v>184.66</v>
      </c>
      <c r="M339" s="15">
        <v>-1000</v>
      </c>
      <c r="N339" s="10">
        <f t="shared" si="78"/>
        <v>2058.9908697741471</v>
      </c>
      <c r="O339" s="3">
        <f ca="1">($AA$17-E339)/365</f>
        <v>12.336986301369864</v>
      </c>
      <c r="P339" s="12">
        <f t="shared" si="77"/>
        <v>1.058990869774147</v>
      </c>
      <c r="Q339" s="12">
        <f t="shared" ca="1" si="74"/>
        <v>6.0288153993123483E-2</v>
      </c>
    </row>
    <row r="340" spans="5:17" x14ac:dyDescent="0.25">
      <c r="E340" s="2">
        <v>37152</v>
      </c>
      <c r="F340" s="13">
        <f t="shared" ca="1" si="72"/>
        <v>41658.084246575345</v>
      </c>
      <c r="G340" s="3">
        <v>104.05</v>
      </c>
      <c r="H340" s="3">
        <f t="shared" si="73"/>
        <v>9.6107640557424325</v>
      </c>
      <c r="I340" s="3">
        <v>1</v>
      </c>
      <c r="J340" s="3">
        <f>H340*SUM(S249:S298)</f>
        <v>284.26717924074961</v>
      </c>
      <c r="K340" s="3">
        <v>0</v>
      </c>
      <c r="L340" s="3">
        <f>'Data (ignore)'!$B$1188</f>
        <v>184.66</v>
      </c>
      <c r="M340" s="15">
        <v>-1000</v>
      </c>
      <c r="N340" s="10">
        <f t="shared" si="78"/>
        <v>2058.9908697741471</v>
      </c>
      <c r="O340" s="3">
        <f ca="1">($AA$17-E340)/365</f>
        <v>12.336986301369864</v>
      </c>
      <c r="P340" s="12">
        <f t="shared" si="77"/>
        <v>1.058990869774147</v>
      </c>
      <c r="Q340" s="12">
        <f t="shared" ca="1" si="74"/>
        <v>6.0288153993123483E-2</v>
      </c>
    </row>
    <row r="341" spans="5:17" x14ac:dyDescent="0.25">
      <c r="E341" s="2">
        <v>37154</v>
      </c>
      <c r="F341" s="13">
        <f t="shared" si="72"/>
        <v>39004.266438356164</v>
      </c>
      <c r="G341" s="3">
        <v>98.71</v>
      </c>
      <c r="H341" s="3">
        <f t="shared" si="73"/>
        <v>10.130685847431872</v>
      </c>
      <c r="I341" s="3">
        <v>1</v>
      </c>
      <c r="J341" s="3">
        <f>H341*SUM(S249:S268)</f>
        <v>94.326815925438154</v>
      </c>
      <c r="K341" s="3">
        <v>0</v>
      </c>
      <c r="L341" s="3">
        <v>136.63</v>
      </c>
      <c r="M341" s="15">
        <v>-1000</v>
      </c>
      <c r="N341" s="10">
        <f t="shared" si="78"/>
        <v>1478.4824232600549</v>
      </c>
      <c r="O341" s="3">
        <f>(DATE(2006,10,13)-E341)/365</f>
        <v>5.065753424657534</v>
      </c>
      <c r="P341" s="12">
        <f t="shared" si="77"/>
        <v>0.47848242326005491</v>
      </c>
      <c r="Q341" s="12">
        <f t="shared" si="74"/>
        <v>8.0245313276928076E-2</v>
      </c>
    </row>
    <row r="342" spans="5:17" x14ac:dyDescent="0.25">
      <c r="E342" s="2">
        <v>37166</v>
      </c>
      <c r="F342" s="13">
        <f t="shared" si="72"/>
        <v>38632.003424657538</v>
      </c>
      <c r="G342" s="3">
        <v>105.58</v>
      </c>
      <c r="H342" s="3">
        <f t="shared" si="73"/>
        <v>9.4714908126539115</v>
      </c>
      <c r="I342" s="3">
        <v>1</v>
      </c>
      <c r="J342" s="3">
        <f>H342*SUM(S250:S264)</f>
        <v>63.203258192839549</v>
      </c>
      <c r="K342" s="3">
        <v>0</v>
      </c>
      <c r="L342" s="3">
        <v>119.2</v>
      </c>
      <c r="M342" s="15">
        <v>-1000</v>
      </c>
      <c r="N342" s="10">
        <f t="shared" si="78"/>
        <v>1192.2049630611857</v>
      </c>
      <c r="O342" s="3">
        <f>(DATE(2005,10,6)-E342)/365</f>
        <v>4.0136986301369859</v>
      </c>
      <c r="P342" s="12">
        <f t="shared" si="77"/>
        <v>0.1922049630611857</v>
      </c>
      <c r="Q342" s="12">
        <f t="shared" si="74"/>
        <v>4.477455138775821E-2</v>
      </c>
    </row>
    <row r="343" spans="5:17" x14ac:dyDescent="0.25">
      <c r="E343" s="2">
        <v>37368</v>
      </c>
      <c r="F343" s="13">
        <f t="shared" ca="1" si="72"/>
        <v>41657.93630136986</v>
      </c>
      <c r="G343" s="3">
        <v>111</v>
      </c>
      <c r="H343" s="3">
        <f t="shared" si="73"/>
        <v>9.0090090090090094</v>
      </c>
      <c r="I343" s="3">
        <v>1</v>
      </c>
      <c r="J343" s="3">
        <f>H343*SUM(S252:S298)</f>
        <v>256.61261261261257</v>
      </c>
      <c r="K343" s="3">
        <v>0</v>
      </c>
      <c r="L343" s="3">
        <f>'Data (ignore)'!$B$1188</f>
        <v>184.66</v>
      </c>
      <c r="M343" s="15">
        <v>-1000</v>
      </c>
      <c r="N343" s="10">
        <f t="shared" si="78"/>
        <v>1920.2162162162163</v>
      </c>
      <c r="O343" s="3">
        <f ca="1">($AA$17-E343)/365</f>
        <v>11.745205479452055</v>
      </c>
      <c r="P343" s="12">
        <f t="shared" si="77"/>
        <v>0.9202162162162163</v>
      </c>
      <c r="Q343" s="12">
        <f t="shared" ca="1" si="74"/>
        <v>5.7121118320412112E-2</v>
      </c>
    </row>
    <row r="344" spans="5:17" x14ac:dyDescent="0.25">
      <c r="E344" s="2">
        <v>37433</v>
      </c>
      <c r="F344" s="13">
        <f t="shared" si="72"/>
        <v>37561.087671232875</v>
      </c>
      <c r="G344" s="3">
        <v>97.72</v>
      </c>
      <c r="H344" s="3">
        <f t="shared" si="73"/>
        <v>10.233319688907082</v>
      </c>
      <c r="I344" s="3">
        <v>1</v>
      </c>
      <c r="J344" s="3">
        <f>H344*SUM(S252:S253)</f>
        <v>7.4805566925910769</v>
      </c>
      <c r="K344" s="3">
        <v>0</v>
      </c>
      <c r="L344" s="3">
        <v>90.27</v>
      </c>
      <c r="M344" s="15">
        <v>-1000</v>
      </c>
      <c r="N344" s="10">
        <f t="shared" si="78"/>
        <v>931.24232501023334</v>
      </c>
      <c r="O344" s="3">
        <f>(DATE(2002,11,1)-E344)/365</f>
        <v>0.35068493150684932</v>
      </c>
      <c r="P344" s="12">
        <f t="shared" si="77"/>
        <v>-6.8757674989766662E-2</v>
      </c>
      <c r="Q344" s="12">
        <f t="shared" si="74"/>
        <v>-0.18383047632130078</v>
      </c>
    </row>
    <row r="345" spans="5:17" x14ac:dyDescent="0.25">
      <c r="E345" s="2">
        <v>37461</v>
      </c>
      <c r="F345" s="13">
        <f t="shared" ca="1" si="72"/>
        <v>41657.872602739728</v>
      </c>
      <c r="G345" s="3">
        <v>84.72</v>
      </c>
      <c r="H345" s="3">
        <f t="shared" si="73"/>
        <v>11.803588290840416</v>
      </c>
      <c r="I345" s="3">
        <v>1</v>
      </c>
      <c r="J345" s="3">
        <f>H345*SUM(S253:S298)</f>
        <v>332.0467422096317</v>
      </c>
      <c r="K345" s="3">
        <v>0</v>
      </c>
      <c r="L345" s="3">
        <f>'Data (ignore)'!$B$1188</f>
        <v>184.66</v>
      </c>
      <c r="M345" s="15">
        <v>-1000</v>
      </c>
      <c r="N345" s="10">
        <f t="shared" si="78"/>
        <v>2511.697355996223</v>
      </c>
      <c r="O345" s="3">
        <f ca="1">($AA$17-E345)/365</f>
        <v>11.490410958904109</v>
      </c>
      <c r="P345" s="12">
        <f t="shared" si="77"/>
        <v>1.511697355996223</v>
      </c>
      <c r="Q345" s="12">
        <f t="shared" ca="1" si="74"/>
        <v>8.3449792027304071E-2</v>
      </c>
    </row>
    <row r="346" spans="5:17" x14ac:dyDescent="0.25">
      <c r="E346" s="2">
        <v>37461</v>
      </c>
      <c r="F346" s="13">
        <f t="shared" ca="1" si="72"/>
        <v>41657.872602739728</v>
      </c>
      <c r="G346" s="3">
        <v>84.72</v>
      </c>
      <c r="H346" s="3">
        <f t="shared" si="73"/>
        <v>11.803588290840416</v>
      </c>
      <c r="I346" s="3">
        <v>1</v>
      </c>
      <c r="J346" s="3">
        <f>H346*SUM(S253:S298)</f>
        <v>332.0467422096317</v>
      </c>
      <c r="K346" s="3">
        <v>0</v>
      </c>
      <c r="L346" s="3">
        <f>'Data (ignore)'!$B$1188</f>
        <v>184.66</v>
      </c>
      <c r="M346" s="15">
        <v>-1000</v>
      </c>
      <c r="N346" s="10">
        <f>L346*I346*H346+J346</f>
        <v>2511.697355996223</v>
      </c>
      <c r="O346" s="3">
        <f ca="1">($AA$17-E346)/365</f>
        <v>11.490410958904109</v>
      </c>
      <c r="P346" s="12">
        <f t="shared" si="77"/>
        <v>1.511697355996223</v>
      </c>
      <c r="Q346" s="12">
        <f t="shared" ca="1" si="74"/>
        <v>8.3449792027304071E-2</v>
      </c>
    </row>
    <row r="347" spans="5:17" x14ac:dyDescent="0.25">
      <c r="E347" s="2">
        <v>37461</v>
      </c>
      <c r="F347" s="13">
        <f t="shared" ca="1" si="72"/>
        <v>41657.872602739728</v>
      </c>
      <c r="G347" s="3">
        <v>84.72</v>
      </c>
      <c r="H347" s="3">
        <f t="shared" si="73"/>
        <v>11.803588290840416</v>
      </c>
      <c r="I347" s="3">
        <v>1</v>
      </c>
      <c r="J347" s="3">
        <f>H347*SUM(S253:S298)</f>
        <v>332.0467422096317</v>
      </c>
      <c r="K347" s="3">
        <v>0</v>
      </c>
      <c r="L347" s="3">
        <f>'Data (ignore)'!$B$1188</f>
        <v>184.66</v>
      </c>
      <c r="M347" s="15">
        <v>-1000</v>
      </c>
      <c r="N347" s="10">
        <f>H347*I347*L347+(J347)+(K347)</f>
        <v>2511.697355996223</v>
      </c>
      <c r="O347" s="3">
        <f ca="1">($AA$17-E347)/365</f>
        <v>11.490410958904109</v>
      </c>
      <c r="P347" s="12">
        <f t="shared" si="77"/>
        <v>1.511697355996223</v>
      </c>
      <c r="Q347" s="12">
        <f t="shared" ca="1" si="74"/>
        <v>8.3449792027304071E-2</v>
      </c>
    </row>
    <row r="348" spans="5:17" x14ac:dyDescent="0.25">
      <c r="E348" s="2">
        <v>37461</v>
      </c>
      <c r="F348" s="13">
        <f t="shared" ca="1" si="72"/>
        <v>41657.872602739728</v>
      </c>
      <c r="G348" s="3">
        <v>84.72</v>
      </c>
      <c r="H348" s="3">
        <f t="shared" si="73"/>
        <v>11.803588290840416</v>
      </c>
      <c r="I348" s="3">
        <v>1</v>
      </c>
      <c r="J348" s="3">
        <f>H348*SUM(S253:S298)</f>
        <v>332.0467422096317</v>
      </c>
      <c r="K348" s="3">
        <v>0</v>
      </c>
      <c r="L348" s="3">
        <f>'Data (ignore)'!$B$1188</f>
        <v>184.66</v>
      </c>
      <c r="M348" s="15">
        <v>-1000</v>
      </c>
      <c r="N348" s="10">
        <f>H348*I348*L348+(J348)+(K348)</f>
        <v>2511.697355996223</v>
      </c>
      <c r="O348" s="3">
        <f ca="1">($AA$17-E348)/365</f>
        <v>11.490410958904109</v>
      </c>
      <c r="P348" s="12">
        <f t="shared" si="77"/>
        <v>1.511697355996223</v>
      </c>
      <c r="Q348" s="12">
        <f t="shared" ca="1" si="74"/>
        <v>8.3449792027304071E-2</v>
      </c>
    </row>
    <row r="349" spans="5:17" x14ac:dyDescent="0.25">
      <c r="E349" s="2">
        <v>37461</v>
      </c>
      <c r="F349" s="13">
        <f t="shared" si="72"/>
        <v>39009.059589041099</v>
      </c>
      <c r="G349" s="3">
        <v>84.72</v>
      </c>
      <c r="H349" s="3">
        <f t="shared" si="73"/>
        <v>11.803588290840416</v>
      </c>
      <c r="I349" s="3">
        <v>1</v>
      </c>
      <c r="J349" s="3">
        <f>H349*SUM(S253:S269)</f>
        <v>99.657695939565627</v>
      </c>
      <c r="K349" s="3">
        <v>0</v>
      </c>
      <c r="L349" s="3">
        <v>136.59</v>
      </c>
      <c r="M349" s="15">
        <v>-1000</v>
      </c>
      <c r="N349" s="10">
        <f>H349*I349*L349+(J349)+(K349)</f>
        <v>1711.9098205854582</v>
      </c>
      <c r="O349" s="3">
        <f>(DATE(2006,10,18)-E349)/365</f>
        <v>4.2383561643835614</v>
      </c>
      <c r="P349" s="12">
        <f t="shared" si="77"/>
        <v>0.71190982058545815</v>
      </c>
      <c r="Q349" s="12">
        <f t="shared" si="74"/>
        <v>0.13523978657895452</v>
      </c>
    </row>
    <row r="350" spans="5:17" x14ac:dyDescent="0.25">
      <c r="E350" s="2">
        <v>37461</v>
      </c>
      <c r="F350" s="13">
        <f t="shared" ca="1" si="72"/>
        <v>41657.872602739728</v>
      </c>
      <c r="G350" s="3">
        <v>84.72</v>
      </c>
      <c r="H350" s="3">
        <f t="shared" si="73"/>
        <v>11.803588290840416</v>
      </c>
      <c r="I350" s="3">
        <v>1</v>
      </c>
      <c r="J350" s="3">
        <f>H350*SUM(S253:S298)</f>
        <v>332.0467422096317</v>
      </c>
      <c r="K350" s="3">
        <v>0</v>
      </c>
      <c r="L350" s="3">
        <f>'Data (ignore)'!$B$1188</f>
        <v>184.66</v>
      </c>
      <c r="M350" s="15">
        <v>-1000</v>
      </c>
      <c r="N350" s="10">
        <f t="shared" ref="N350:N360" si="79">H350*I350*L350+(J350)+(K350)</f>
        <v>2511.697355996223</v>
      </c>
      <c r="O350" s="3">
        <f ca="1">($AA$17-E350)/365</f>
        <v>11.490410958904109</v>
      </c>
      <c r="P350" s="12">
        <f t="shared" si="77"/>
        <v>1.511697355996223</v>
      </c>
      <c r="Q350" s="12">
        <f t="shared" ca="1" si="74"/>
        <v>8.3449792027304071E-2</v>
      </c>
    </row>
    <row r="351" spans="5:17" x14ac:dyDescent="0.25">
      <c r="E351" s="2">
        <v>37525</v>
      </c>
      <c r="F351" s="13">
        <f t="shared" ca="1" si="72"/>
        <v>41657.82876712329</v>
      </c>
      <c r="G351" s="3">
        <v>85.73</v>
      </c>
      <c r="H351" s="3">
        <f t="shared" si="73"/>
        <v>11.664528169835529</v>
      </c>
      <c r="I351" s="3">
        <v>1</v>
      </c>
      <c r="J351" s="3">
        <f>H351*SUM(S253:S298)</f>
        <v>328.13484194564325</v>
      </c>
      <c r="K351" s="3">
        <v>0</v>
      </c>
      <c r="L351" s="3">
        <f>'Data (ignore)'!$B$1188</f>
        <v>184.66</v>
      </c>
      <c r="M351" s="15">
        <v>-1000</v>
      </c>
      <c r="N351" s="10">
        <f t="shared" si="79"/>
        <v>2482.1066137874718</v>
      </c>
      <c r="O351" s="3">
        <f ca="1">($AA$17-E351)/365</f>
        <v>11.315068493150685</v>
      </c>
      <c r="P351" s="12">
        <f t="shared" si="77"/>
        <v>1.4821066137874719</v>
      </c>
      <c r="Q351" s="12">
        <f t="shared" ca="1" si="74"/>
        <v>8.3660718947633272E-2</v>
      </c>
    </row>
    <row r="352" spans="5:17" x14ac:dyDescent="0.25">
      <c r="E352" s="2">
        <v>37525</v>
      </c>
      <c r="F352" s="13">
        <f t="shared" ca="1" si="72"/>
        <v>41657.82876712329</v>
      </c>
      <c r="G352" s="3">
        <v>85.73</v>
      </c>
      <c r="H352" s="3">
        <f t="shared" si="73"/>
        <v>11.664528169835529</v>
      </c>
      <c r="I352" s="3">
        <v>1</v>
      </c>
      <c r="J352" s="3">
        <f>H352*SUM(S253:S298)</f>
        <v>328.13484194564325</v>
      </c>
      <c r="K352" s="3">
        <v>0</v>
      </c>
      <c r="L352" s="3">
        <f>'Data (ignore)'!$B$1188</f>
        <v>184.66</v>
      </c>
      <c r="M352" s="15">
        <v>-1000</v>
      </c>
      <c r="N352" s="10">
        <f t="shared" si="79"/>
        <v>2482.1066137874718</v>
      </c>
      <c r="O352" s="3">
        <f ca="1">($AA$17-E352)/365</f>
        <v>11.315068493150685</v>
      </c>
      <c r="P352" s="12">
        <f t="shared" si="77"/>
        <v>1.4821066137874719</v>
      </c>
      <c r="Q352" s="12">
        <f t="shared" ca="1" si="74"/>
        <v>8.3660718947633272E-2</v>
      </c>
    </row>
    <row r="353" spans="5:17" x14ac:dyDescent="0.25">
      <c r="E353" s="2">
        <v>37525</v>
      </c>
      <c r="F353" s="13">
        <f t="shared" si="72"/>
        <v>41125.464383561644</v>
      </c>
      <c r="G353" s="3">
        <v>85.73</v>
      </c>
      <c r="H353" s="3">
        <f t="shared" si="73"/>
        <v>11.664528169835529</v>
      </c>
      <c r="I353" s="3">
        <v>1</v>
      </c>
      <c r="J353" s="3">
        <f>H353*SUM(S253:S292)</f>
        <v>268.03919281465062</v>
      </c>
      <c r="K353" s="3">
        <v>0</v>
      </c>
      <c r="L353" s="3">
        <v>136.63999999999999</v>
      </c>
      <c r="M353" s="15">
        <v>-1000</v>
      </c>
      <c r="N353" s="10">
        <f t="shared" si="79"/>
        <v>1861.8803219409774</v>
      </c>
      <c r="O353" s="3">
        <f>(DATE(2012,8,2)-E353)/365</f>
        <v>9.8575342465753426</v>
      </c>
      <c r="P353" s="12">
        <f t="shared" si="77"/>
        <v>0.86188032194097741</v>
      </c>
      <c r="Q353" s="12">
        <f t="shared" si="74"/>
        <v>6.5087587023094695E-2</v>
      </c>
    </row>
    <row r="354" spans="5:17" x14ac:dyDescent="0.25">
      <c r="E354" s="2">
        <v>37585</v>
      </c>
      <c r="F354" s="13">
        <f t="shared" ca="1" si="72"/>
        <v>41657.78767123288</v>
      </c>
      <c r="G354" s="3">
        <v>93.48</v>
      </c>
      <c r="H354" s="3">
        <f t="shared" si="73"/>
        <v>10.69747539580659</v>
      </c>
      <c r="I354" s="3">
        <v>1</v>
      </c>
      <c r="J354" s="3">
        <f>H354*SUM(S254:S298)</f>
        <v>296.88703465982024</v>
      </c>
      <c r="K354" s="3">
        <v>0</v>
      </c>
      <c r="L354" s="3">
        <f>'Data (ignore)'!$B$1188</f>
        <v>184.66</v>
      </c>
      <c r="M354" s="15">
        <v>-1000</v>
      </c>
      <c r="N354" s="10">
        <f t="shared" si="79"/>
        <v>2272.282841249465</v>
      </c>
      <c r="O354" s="3">
        <f ca="1">($AA$17-E354)/365</f>
        <v>11.150684931506849</v>
      </c>
      <c r="P354" s="12">
        <f t="shared" si="77"/>
        <v>1.2722828412494651</v>
      </c>
      <c r="Q354" s="12">
        <f t="shared" ca="1" si="74"/>
        <v>7.6385297998992518E-2</v>
      </c>
    </row>
    <row r="355" spans="5:17" x14ac:dyDescent="0.25">
      <c r="E355" s="2">
        <v>37585</v>
      </c>
      <c r="F355" s="13">
        <f t="shared" ca="1" si="72"/>
        <v>41657.78767123288</v>
      </c>
      <c r="G355" s="3">
        <v>93.48</v>
      </c>
      <c r="H355" s="3">
        <f t="shared" si="73"/>
        <v>10.69747539580659</v>
      </c>
      <c r="I355" s="3">
        <v>1</v>
      </c>
      <c r="J355" s="3">
        <f>H355*SUM(S254:S298)</f>
        <v>296.88703465982024</v>
      </c>
      <c r="K355" s="3">
        <v>0</v>
      </c>
      <c r="L355" s="3">
        <f>'Data (ignore)'!$B$1188</f>
        <v>184.66</v>
      </c>
      <c r="M355" s="15">
        <v>-1000</v>
      </c>
      <c r="N355" s="10">
        <f t="shared" si="79"/>
        <v>2272.282841249465</v>
      </c>
      <c r="O355" s="3">
        <f ca="1">($AA$17-E355)/365</f>
        <v>11.150684931506849</v>
      </c>
      <c r="P355" s="12">
        <f t="shared" si="77"/>
        <v>1.2722828412494651</v>
      </c>
      <c r="Q355" s="12">
        <f t="shared" ca="1" si="74"/>
        <v>7.6385297998992518E-2</v>
      </c>
    </row>
    <row r="356" spans="5:17" x14ac:dyDescent="0.25">
      <c r="E356" s="2">
        <v>37592</v>
      </c>
      <c r="F356" s="13">
        <f t="shared" si="72"/>
        <v>38033.30205479452</v>
      </c>
      <c r="G356" s="3">
        <v>94.13</v>
      </c>
      <c r="H356" s="3">
        <f t="shared" si="73"/>
        <v>10.623605651758208</v>
      </c>
      <c r="I356" s="3">
        <v>1</v>
      </c>
      <c r="J356" s="3">
        <f>H356*SUM(S254:S258)</f>
        <v>21.948369276532457</v>
      </c>
      <c r="K356" s="3">
        <v>0</v>
      </c>
      <c r="L356" s="3">
        <v>116.17</v>
      </c>
      <c r="M356" s="15">
        <v>-1000</v>
      </c>
      <c r="N356" s="10">
        <f t="shared" si="79"/>
        <v>1256.0926378412835</v>
      </c>
      <c r="O356" s="3">
        <f>(DATE(2004,2,16)-E356)/365</f>
        <v>1.2082191780821918</v>
      </c>
      <c r="P356" s="12">
        <f t="shared" si="77"/>
        <v>0.2560926378412835</v>
      </c>
      <c r="Q356" s="12">
        <f t="shared" si="74"/>
        <v>0.20769345066015865</v>
      </c>
    </row>
    <row r="357" spans="5:17" x14ac:dyDescent="0.25">
      <c r="E357" s="2">
        <v>37655</v>
      </c>
      <c r="F357" s="13">
        <f t="shared" ca="1" si="72"/>
        <v>41657.739726027394</v>
      </c>
      <c r="G357" s="3">
        <v>86.23</v>
      </c>
      <c r="H357" s="3">
        <f t="shared" si="73"/>
        <v>11.596892032935173</v>
      </c>
      <c r="I357" s="3">
        <v>1</v>
      </c>
      <c r="J357" s="3">
        <f>H357*SUM(S255:S298)</f>
        <v>316.79229966369007</v>
      </c>
      <c r="K357" s="3">
        <v>0</v>
      </c>
      <c r="L357" s="3">
        <f>'Data (ignore)'!$B$1188</f>
        <v>184.66</v>
      </c>
      <c r="M357" s="15">
        <v>-1000</v>
      </c>
      <c r="N357" s="10">
        <f t="shared" si="79"/>
        <v>2458.274382465499</v>
      </c>
      <c r="O357" s="3">
        <f ca="1">($AA$17-E357)/365</f>
        <v>10.95890410958904</v>
      </c>
      <c r="P357" s="12">
        <f t="shared" si="77"/>
        <v>1.4582743824654989</v>
      </c>
      <c r="Q357" s="12">
        <f t="shared" ca="1" si="74"/>
        <v>8.5537972755047376E-2</v>
      </c>
    </row>
    <row r="358" spans="5:17" x14ac:dyDescent="0.25">
      <c r="E358" s="2">
        <v>37742</v>
      </c>
      <c r="F358" s="13">
        <f t="shared" ca="1" si="72"/>
        <v>41657.680136986302</v>
      </c>
      <c r="G358" s="3">
        <v>91.9</v>
      </c>
      <c r="H358" s="3">
        <f t="shared" si="73"/>
        <v>10.881392818280739</v>
      </c>
      <c r="I358" s="3">
        <v>1</v>
      </c>
      <c r="J358" s="3">
        <f>H358*SUM(S256:S298)</f>
        <v>293.39499455930354</v>
      </c>
      <c r="K358" s="3">
        <v>0</v>
      </c>
      <c r="L358" s="3">
        <f>'Data (ignore)'!$B$1188</f>
        <v>184.66</v>
      </c>
      <c r="M358" s="15">
        <v>-1000</v>
      </c>
      <c r="N358" s="10">
        <f t="shared" si="79"/>
        <v>2302.7529923830248</v>
      </c>
      <c r="O358" s="3">
        <f ca="1">($AA$17-E358)/365</f>
        <v>10.72054794520548</v>
      </c>
      <c r="P358" s="12">
        <f t="shared" si="77"/>
        <v>1.3027529923830248</v>
      </c>
      <c r="Q358" s="12">
        <f t="shared" ca="1" si="74"/>
        <v>8.0911167376569004E-2</v>
      </c>
    </row>
    <row r="359" spans="5:17" x14ac:dyDescent="0.25">
      <c r="E359" s="2">
        <v>37847</v>
      </c>
      <c r="F359" s="13">
        <f t="shared" ca="1" si="72"/>
        <v>41657.608219178081</v>
      </c>
      <c r="G359" s="3">
        <v>99.31</v>
      </c>
      <c r="H359" s="3">
        <f t="shared" si="73"/>
        <v>10.06947940791461</v>
      </c>
      <c r="I359" s="3">
        <v>1</v>
      </c>
      <c r="J359" s="3">
        <f>H359*SUM(S257:S298)</f>
        <v>267.87836068875231</v>
      </c>
      <c r="K359" s="3">
        <v>0</v>
      </c>
      <c r="L359" s="3">
        <f>'Data (ignore)'!$B$1188</f>
        <v>184.66</v>
      </c>
      <c r="M359" s="15">
        <v>-1000</v>
      </c>
      <c r="N359" s="10">
        <f t="shared" si="79"/>
        <v>2127.3084281542642</v>
      </c>
      <c r="O359" s="3">
        <f ca="1">($AA$17-E359)/365</f>
        <v>10.432876712328767</v>
      </c>
      <c r="P359" s="12">
        <f t="shared" si="77"/>
        <v>1.1273084281542642</v>
      </c>
      <c r="Q359" s="12">
        <f t="shared" ca="1" si="74"/>
        <v>7.5035547812791981E-2</v>
      </c>
    </row>
    <row r="360" spans="5:17" x14ac:dyDescent="0.25">
      <c r="E360" s="2">
        <v>37950</v>
      </c>
      <c r="F360" s="13">
        <f t="shared" si="72"/>
        <v>39411</v>
      </c>
      <c r="G360" s="3">
        <v>105.99</v>
      </c>
      <c r="H360" s="3">
        <f t="shared" si="73"/>
        <v>9.4348523445608077</v>
      </c>
      <c r="I360" s="3">
        <v>1</v>
      </c>
      <c r="J360" s="3">
        <f>H360*SUM(S258:S273)</f>
        <v>87.121426549674496</v>
      </c>
      <c r="K360" s="3">
        <v>0</v>
      </c>
      <c r="L360" s="3">
        <v>140.94999999999999</v>
      </c>
      <c r="M360" s="15">
        <v>-1000</v>
      </c>
      <c r="N360" s="10">
        <f t="shared" si="79"/>
        <v>1416.9638645155201</v>
      </c>
      <c r="O360" s="3">
        <v>4</v>
      </c>
      <c r="P360" s="12">
        <f t="shared" si="77"/>
        <v>0.41696386451552009</v>
      </c>
      <c r="Q360" s="12">
        <f t="shared" si="74"/>
        <v>9.1037539659043043E-2</v>
      </c>
    </row>
    <row r="361" spans="5:17" x14ac:dyDescent="0.25">
      <c r="E361" s="2">
        <v>37978</v>
      </c>
      <c r="F361" s="13">
        <f t="shared" ca="1" si="72"/>
        <v>39204.506164383565</v>
      </c>
      <c r="G361" s="3">
        <v>109.73</v>
      </c>
      <c r="H361" s="3">
        <f t="shared" si="73"/>
        <v>9.1132780461131873</v>
      </c>
      <c r="I361" s="3">
        <v>1</v>
      </c>
      <c r="J361" s="3">
        <f>H361/3*SUM(S258:S269)+H361*2/3*SUM(S258:S295)</f>
        <v>162.84516540599651</v>
      </c>
      <c r="K361" s="3">
        <v>0</v>
      </c>
      <c r="L361" s="3">
        <f>'Data (ignore)'!$B$1188</f>
        <v>184.66</v>
      </c>
      <c r="M361" s="15">
        <v>-1000</v>
      </c>
      <c r="N361" s="10">
        <f>(H361/3*141.58)+(H361*2/3*L361)+J361</f>
        <v>1714.8364166590725</v>
      </c>
      <c r="O361" s="3">
        <f ca="1">($AA$17-E361)/365/3</f>
        <v>3.3579908675799088</v>
      </c>
      <c r="P361" s="12">
        <f t="shared" si="77"/>
        <v>0.71483641665907249</v>
      </c>
      <c r="Q361" s="12">
        <f t="shared" ca="1" si="74"/>
        <v>0.17422370657551789</v>
      </c>
    </row>
    <row r="362" spans="5:17" x14ac:dyDescent="0.25">
      <c r="E362" s="2">
        <v>37978</v>
      </c>
      <c r="F362" s="13">
        <f t="shared" ca="1" si="72"/>
        <v>40386.148287671233</v>
      </c>
      <c r="G362" s="3">
        <v>109.73</v>
      </c>
      <c r="H362" s="3">
        <f t="shared" si="73"/>
        <v>9.1132780461131873</v>
      </c>
      <c r="I362" s="3">
        <v>1</v>
      </c>
      <c r="J362" s="3">
        <f>H362/2*SUM(S258:S270)+H362/2*SUM(S258:S295)</f>
        <v>140.59054041738813</v>
      </c>
      <c r="K362" s="3">
        <v>0</v>
      </c>
      <c r="L362" s="3">
        <f>'Data (ignore)'!$B$1188</f>
        <v>184.66</v>
      </c>
      <c r="M362" s="15">
        <v>-1000</v>
      </c>
      <c r="N362" s="10">
        <f>H362/2*144.81+H362/2*156.75+J362</f>
        <v>1514.6906042103346</v>
      </c>
      <c r="O362" s="3">
        <f ca="1">((DATE(2007,2,1)+$AA$17)/2-E362)/365</f>
        <v>6.5931506849315067</v>
      </c>
      <c r="P362" s="12">
        <f t="shared" si="77"/>
        <v>0.51469060421033463</v>
      </c>
      <c r="Q362" s="12">
        <f t="shared" ca="1" si="74"/>
        <v>6.5001430560259532E-2</v>
      </c>
    </row>
    <row r="363" spans="5:17" x14ac:dyDescent="0.25">
      <c r="E363" s="2">
        <v>37978</v>
      </c>
      <c r="F363" s="13">
        <f t="shared" si="72"/>
        <v>38631.44726027397</v>
      </c>
      <c r="G363" s="3">
        <v>109.73</v>
      </c>
      <c r="H363" s="3">
        <f t="shared" si="73"/>
        <v>9.1132780461131873</v>
      </c>
      <c r="I363" s="3">
        <v>1</v>
      </c>
      <c r="J363" s="3">
        <f>H363*SUM(S258:S264)</f>
        <v>33.427503873143174</v>
      </c>
      <c r="K363" s="3">
        <v>0</v>
      </c>
      <c r="L363" s="3">
        <v>119.2</v>
      </c>
      <c r="M363" s="15">
        <v>-1000</v>
      </c>
      <c r="N363" s="10">
        <f>H363*I363*L363+(J363)+(K363)</f>
        <v>1119.7302469698352</v>
      </c>
      <c r="O363" s="3">
        <f>(DATE(2005,10,6)-E363)/365</f>
        <v>1.789041095890411</v>
      </c>
      <c r="P363" s="12">
        <f t="shared" si="77"/>
        <v>0.11973024696983521</v>
      </c>
      <c r="Q363" s="12">
        <f t="shared" si="74"/>
        <v>6.5252017474711543E-2</v>
      </c>
    </row>
    <row r="364" spans="5:17" x14ac:dyDescent="0.25">
      <c r="E364" s="2">
        <v>38033</v>
      </c>
      <c r="F364" s="13">
        <f t="shared" ca="1" si="72"/>
        <v>40091.408904109587</v>
      </c>
      <c r="G364" s="3">
        <v>116.17</v>
      </c>
      <c r="H364" s="3">
        <f t="shared" si="73"/>
        <v>8.6080743737625891</v>
      </c>
      <c r="I364" s="3">
        <v>1</v>
      </c>
      <c r="J364" s="3">
        <f>H364/2*SUM(S259:S263)+H364/2*SUM(S259:S295)</f>
        <v>110.58793147972797</v>
      </c>
      <c r="K364" s="3">
        <v>0</v>
      </c>
      <c r="L364" s="3">
        <v>10.050000000000001</v>
      </c>
      <c r="M364" s="15">
        <v>-1000</v>
      </c>
      <c r="N364" s="10">
        <f>H364/2*121.57+H364/2*156.75+J364</f>
        <v>1308.4875613325298</v>
      </c>
      <c r="O364" s="3">
        <f ca="1">((DATE(2005,6,22)+$AA$17)/2-E364)/365</f>
        <v>5.6356164383561644</v>
      </c>
      <c r="P364" s="12">
        <f t="shared" si="77"/>
        <v>0.3084875613325298</v>
      </c>
      <c r="Q364" s="12">
        <f t="shared" ca="1" si="74"/>
        <v>4.886582142047291E-2</v>
      </c>
    </row>
    <row r="365" spans="5:17" x14ac:dyDescent="0.25">
      <c r="E365" s="2">
        <v>38033</v>
      </c>
      <c r="F365" s="13">
        <f t="shared" si="72"/>
        <v>38755.494520547945</v>
      </c>
      <c r="G365" s="3">
        <v>116.17</v>
      </c>
      <c r="H365" s="3">
        <f t="shared" si="73"/>
        <v>8.6080743737625891</v>
      </c>
      <c r="I365" s="3">
        <v>1</v>
      </c>
      <c r="J365" s="3">
        <f>H365*SUM(S259:S266)</f>
        <v>37.410691228372215</v>
      </c>
      <c r="K365" s="3">
        <v>0</v>
      </c>
      <c r="L365" s="3">
        <v>125.48</v>
      </c>
      <c r="M365" s="15">
        <v>-1000</v>
      </c>
      <c r="N365" s="10">
        <f>H365*3/4*I365*L365+(J365)+(K365)</f>
        <v>847.51657054316945</v>
      </c>
      <c r="O365" s="3">
        <f>(DATE(2006,2,7)-E365)/365</f>
        <v>1.978082191780822</v>
      </c>
      <c r="P365" s="12">
        <f t="shared" si="77"/>
        <v>-0.15248342945683055</v>
      </c>
      <c r="Q365" s="12">
        <f t="shared" si="74"/>
        <v>-8.0236802417895547E-2</v>
      </c>
    </row>
    <row r="366" spans="5:17" x14ac:dyDescent="0.25">
      <c r="E366" s="2">
        <v>38152</v>
      </c>
      <c r="F366" s="13">
        <f t="shared" ca="1" si="72"/>
        <v>41657.399315068491</v>
      </c>
      <c r="G366" s="3">
        <v>113.22</v>
      </c>
      <c r="H366" s="3">
        <f t="shared" si="73"/>
        <v>8.8323617735382438</v>
      </c>
      <c r="I366" s="3">
        <v>1</v>
      </c>
      <c r="J366" s="3">
        <f>H366*SUM(S260:S298)</f>
        <v>223.38809397632926</v>
      </c>
      <c r="K366" s="3">
        <v>0</v>
      </c>
      <c r="L366" s="3">
        <f>'Data (ignore)'!$B$1188</f>
        <v>184.66</v>
      </c>
      <c r="M366" s="15">
        <v>-1000</v>
      </c>
      <c r="N366" s="10">
        <f>H366*I366*L366+(J366)+(K366)</f>
        <v>1854.3720190779013</v>
      </c>
      <c r="O366" s="3">
        <f ca="1">($AA$17-E366)/365</f>
        <v>9.5972602739726032</v>
      </c>
      <c r="P366" s="12">
        <f t="shared" ref="P366:P373" si="80">(N366-1000)/1000</f>
        <v>0.85437201907790128</v>
      </c>
      <c r="Q366" s="12">
        <f t="shared" ref="Q366:Q373" ca="1" si="81">(N366/1000)^(1/O366)-1</f>
        <v>6.6461418890641166E-2</v>
      </c>
    </row>
    <row r="367" spans="5:17" x14ac:dyDescent="0.25">
      <c r="E367" s="2">
        <v>38215</v>
      </c>
      <c r="F367" s="13">
        <f t="shared" ca="1" si="72"/>
        <v>41657.356164383564</v>
      </c>
      <c r="G367" s="3">
        <v>108.3</v>
      </c>
      <c r="H367" s="3">
        <f t="shared" si="73"/>
        <v>9.2336103416435833</v>
      </c>
      <c r="I367" s="3">
        <v>1</v>
      </c>
      <c r="J367" s="3">
        <f>H367*SUM(S261:S298)</f>
        <v>229.71375807940908</v>
      </c>
      <c r="K367" s="3">
        <v>0</v>
      </c>
      <c r="L367" s="3">
        <f>'Data (ignore)'!$B$1188</f>
        <v>184.66</v>
      </c>
      <c r="M367" s="15">
        <v>-1000</v>
      </c>
      <c r="N367" s="10">
        <f>H367*I367*L367+(J367)+(K367)</f>
        <v>1934.792243767313</v>
      </c>
      <c r="O367" s="3">
        <f ca="1">($AA$17-E367)/365</f>
        <v>9.4246575342465757</v>
      </c>
      <c r="P367" s="12">
        <f t="shared" si="80"/>
        <v>0.93479224376731307</v>
      </c>
      <c r="Q367" s="12">
        <f t="shared" ca="1" si="81"/>
        <v>7.2539353939801154E-2</v>
      </c>
    </row>
    <row r="368" spans="5:17" x14ac:dyDescent="0.25">
      <c r="E368" s="2">
        <v>38222</v>
      </c>
      <c r="F368" s="13">
        <f t="shared" si="72"/>
        <v>38275.036301369866</v>
      </c>
      <c r="G368" s="3">
        <v>110.2</v>
      </c>
      <c r="H368" s="3">
        <f t="shared" si="73"/>
        <v>9.0744101633393832</v>
      </c>
      <c r="I368" s="3">
        <v>1</v>
      </c>
      <c r="J368" s="3">
        <f>H368*S261</f>
        <v>4.2558983666061705</v>
      </c>
      <c r="K368" s="3">
        <v>0</v>
      </c>
      <c r="L368" s="3">
        <v>111.26</v>
      </c>
      <c r="M368" s="15">
        <v>-1000</v>
      </c>
      <c r="N368" s="10">
        <f>H368*I368*L368+(J368)+(K368)</f>
        <v>1013.874773139746</v>
      </c>
      <c r="O368" s="3">
        <f>(DATE(2004,10,15)-E368)/365</f>
        <v>0.14520547945205478</v>
      </c>
      <c r="P368" s="12">
        <f t="shared" si="80"/>
        <v>1.3874773139746025E-2</v>
      </c>
      <c r="Q368" s="12">
        <f t="shared" si="81"/>
        <v>9.9544348699215579E-2</v>
      </c>
    </row>
    <row r="369" spans="5:17" x14ac:dyDescent="0.25">
      <c r="E369" s="2">
        <v>38267</v>
      </c>
      <c r="F369" s="13">
        <f t="shared" si="72"/>
        <v>38720.310273972602</v>
      </c>
      <c r="G369" s="3">
        <v>113.45</v>
      </c>
      <c r="H369" s="3">
        <f t="shared" si="73"/>
        <v>8.8144557073600698</v>
      </c>
      <c r="I369" s="3">
        <v>1</v>
      </c>
      <c r="J369" s="3">
        <f>H369*SUM(S262:S265)</f>
        <v>21.119435874834725</v>
      </c>
      <c r="K369" s="3">
        <v>0</v>
      </c>
      <c r="L369" s="3">
        <v>126.7</v>
      </c>
      <c r="M369" s="15">
        <v>-1000</v>
      </c>
      <c r="N369" s="10">
        <f>H369*I369*L369+(J369)+(K369)</f>
        <v>1137.9109739973558</v>
      </c>
      <c r="O369" s="3">
        <f>(DATE(2006,1,3)-E369)/365</f>
        <v>1.2410958904109588</v>
      </c>
      <c r="P369" s="12">
        <f t="shared" si="80"/>
        <v>0.13791097399735577</v>
      </c>
      <c r="Q369" s="12">
        <f t="shared" si="81"/>
        <v>0.10970786204234928</v>
      </c>
    </row>
    <row r="370" spans="5:17" x14ac:dyDescent="0.25">
      <c r="E370" s="2">
        <v>38278</v>
      </c>
      <c r="F370" s="13">
        <f t="shared" si="72"/>
        <v>39008.5</v>
      </c>
      <c r="G370" s="3">
        <v>111.68</v>
      </c>
      <c r="H370" s="3">
        <f t="shared" si="73"/>
        <v>8.9541547277936964</v>
      </c>
      <c r="I370" s="3">
        <v>1</v>
      </c>
      <c r="J370" s="3">
        <f>H370*SUM(S262:S269)</f>
        <v>42.272564469914045</v>
      </c>
      <c r="K370" s="3">
        <v>0</v>
      </c>
      <c r="L370" s="3">
        <v>136.59</v>
      </c>
      <c r="M370" s="15">
        <v>-1000</v>
      </c>
      <c r="N370" s="10">
        <f>H370*I370*L370+(J370)+(K370)</f>
        <v>1265.3205587392549</v>
      </c>
      <c r="O370" s="3">
        <v>2</v>
      </c>
      <c r="P370" s="12">
        <f t="shared" si="80"/>
        <v>0.26532055873925492</v>
      </c>
      <c r="Q370" s="12">
        <f t="shared" si="81"/>
        <v>0.12486468463511424</v>
      </c>
    </row>
    <row r="371" spans="5:17" x14ac:dyDescent="0.25">
      <c r="E371" s="2">
        <v>38334</v>
      </c>
      <c r="F371" s="13">
        <f t="shared" ca="1" si="72"/>
        <v>41657.274657534246</v>
      </c>
      <c r="G371" s="3">
        <v>120.37</v>
      </c>
      <c r="H371" s="3">
        <f t="shared" ref="H371:H401" si="82">1000/G371</f>
        <v>8.307717869901138</v>
      </c>
      <c r="I371" s="3">
        <v>1</v>
      </c>
      <c r="J371" s="3">
        <f>H371*SUM(S262:S298)</f>
        <v>202.78308548641687</v>
      </c>
      <c r="K371" s="3">
        <v>0</v>
      </c>
      <c r="L371" s="3">
        <f>'Data (ignore)'!$B$1188</f>
        <v>184.66</v>
      </c>
      <c r="M371" s="15">
        <v>-1000</v>
      </c>
      <c r="N371" s="10">
        <f>L371*H371*I371+J371</f>
        <v>1736.886267342361</v>
      </c>
      <c r="O371" s="3">
        <f ca="1">($AA$17-E371)/365</f>
        <v>9.0986301369863014</v>
      </c>
      <c r="P371" s="12">
        <f t="shared" si="80"/>
        <v>0.73688626734236096</v>
      </c>
      <c r="Q371" s="12">
        <f t="shared" ca="1" si="81"/>
        <v>6.2557571750336827E-2</v>
      </c>
    </row>
    <row r="372" spans="5:17" x14ac:dyDescent="0.25">
      <c r="E372" s="2">
        <v>38400</v>
      </c>
      <c r="F372" s="13">
        <f t="shared" ref="F372:F435" si="83">E372+(365.25*O372)</f>
        <v>38791.267808219178</v>
      </c>
      <c r="G372" s="3">
        <v>120.23</v>
      </c>
      <c r="H372" s="3">
        <f t="shared" si="82"/>
        <v>8.3173916659735507</v>
      </c>
      <c r="I372" s="3">
        <v>1</v>
      </c>
      <c r="J372" s="3">
        <f>H372/2*SUM(S263:S265)+H372*SUM(S263:S268)</f>
        <v>32.949347084754223</v>
      </c>
      <c r="K372" s="3">
        <v>0</v>
      </c>
      <c r="L372" s="3">
        <v>130.47999999999999</v>
      </c>
      <c r="M372" s="15">
        <v>-1000</v>
      </c>
      <c r="N372" s="10">
        <f>H372/2*123.04+H372/2*130.43+J372</f>
        <v>1087.0539798719121</v>
      </c>
      <c r="O372" s="3">
        <f>((DATE(2005,9,30)+DATE(2006,8,28))/2-E372)/365</f>
        <v>1.0712328767123287</v>
      </c>
      <c r="P372" s="12">
        <f t="shared" si="80"/>
        <v>8.7053979871912129E-2</v>
      </c>
      <c r="Q372" s="12">
        <f t="shared" si="81"/>
        <v>8.103698029269224E-2</v>
      </c>
    </row>
    <row r="373" spans="5:17" x14ac:dyDescent="0.25">
      <c r="E373" s="2">
        <v>38429</v>
      </c>
      <c r="F373" s="13">
        <f t="shared" si="83"/>
        <v>38545.079452054793</v>
      </c>
      <c r="G373" s="3">
        <v>118.54</v>
      </c>
      <c r="H373" s="3">
        <f t="shared" si="82"/>
        <v>8.4359709802598282</v>
      </c>
      <c r="I373" s="3">
        <v>1</v>
      </c>
      <c r="J373" s="3">
        <f>H373*S263</f>
        <v>3.9395984477813402</v>
      </c>
      <c r="K373" s="3">
        <v>0</v>
      </c>
      <c r="L373" s="3">
        <v>122.26</v>
      </c>
      <c r="M373" s="15">
        <v>-1000</v>
      </c>
      <c r="N373" s="10">
        <f>H373*I373*L373+(J373)+(K373)</f>
        <v>1035.3214104943479</v>
      </c>
      <c r="O373" s="3">
        <f>(DATE(2005,7,12)-E373)/365</f>
        <v>0.31780821917808222</v>
      </c>
      <c r="P373" s="12">
        <f t="shared" si="80"/>
        <v>3.53214104943479E-2</v>
      </c>
      <c r="Q373" s="12">
        <f t="shared" si="81"/>
        <v>0.1154108940615719</v>
      </c>
    </row>
    <row r="374" spans="5:17" x14ac:dyDescent="0.25">
      <c r="E374" s="2">
        <v>38429</v>
      </c>
      <c r="F374" s="13">
        <f t="shared" ca="1" si="83"/>
        <v>40427.868150684932</v>
      </c>
      <c r="G374" s="3">
        <v>118.54</v>
      </c>
      <c r="H374" s="3">
        <f t="shared" si="82"/>
        <v>8.4359709802598282</v>
      </c>
      <c r="I374" s="3">
        <v>1</v>
      </c>
      <c r="J374" s="3">
        <f>H374/2*SUM(S264:S271)+H374/2*SUM(S264:S295)</f>
        <v>105.6394466003037</v>
      </c>
      <c r="K374" s="3">
        <v>0</v>
      </c>
      <c r="L374" s="3">
        <f>'Data (ignore)'!$B$1188</f>
        <v>184.66</v>
      </c>
      <c r="M374" s="15">
        <v>-1000</v>
      </c>
      <c r="N374" s="10">
        <f>H374/2*149.65+H374/2*L374+(J374)</f>
        <v>1515.7541758056352</v>
      </c>
      <c r="O374" s="3">
        <f ca="1">(($AA$17+DATE(2007,4,26))/2-E374)/365</f>
        <v>5.4726027397260273</v>
      </c>
      <c r="P374" s="12">
        <f t="shared" ref="P374:P423" si="84">(N374-1000)/1000</f>
        <v>0.51575417580563521</v>
      </c>
      <c r="Q374" s="12">
        <f t="shared" ref="Q374:Q423" ca="1" si="85">(N374/1000)^(1/O374)-1</f>
        <v>7.8961650021206031E-2</v>
      </c>
    </row>
    <row r="375" spans="5:17" x14ac:dyDescent="0.25">
      <c r="E375" s="2">
        <v>38539</v>
      </c>
      <c r="F375" s="13">
        <f t="shared" si="83"/>
        <v>39839.890410958906</v>
      </c>
      <c r="G375" s="3">
        <v>119.48</v>
      </c>
      <c r="H375" s="3">
        <f t="shared" si="82"/>
        <v>8.3696016069635082</v>
      </c>
      <c r="I375" s="3">
        <v>1</v>
      </c>
      <c r="J375" s="3">
        <f>H375*SUM(S265:S278)</f>
        <v>75.845329762303322</v>
      </c>
      <c r="K375" s="3">
        <v>0</v>
      </c>
      <c r="L375" s="3">
        <v>83.68</v>
      </c>
      <c r="M375" s="15">
        <v>-1000</v>
      </c>
      <c r="N375" s="10">
        <f>H375*I375*L375+(J375)+(K375)</f>
        <v>776.21359223300976</v>
      </c>
      <c r="O375" s="3">
        <f>(DATE(2009,1,26)-E375)/365</f>
        <v>3.5616438356164384</v>
      </c>
      <c r="P375" s="12">
        <f t="shared" si="84"/>
        <v>-0.22378640776699024</v>
      </c>
      <c r="Q375" s="12">
        <f t="shared" si="85"/>
        <v>-6.8656005835935119E-2</v>
      </c>
    </row>
    <row r="376" spans="5:17" x14ac:dyDescent="0.25">
      <c r="E376" s="2">
        <v>38539</v>
      </c>
      <c r="F376" s="13">
        <f t="shared" si="83"/>
        <v>38706.114383561646</v>
      </c>
      <c r="G376" s="3">
        <v>119.48</v>
      </c>
      <c r="H376" s="3">
        <f t="shared" si="82"/>
        <v>8.3696016069635082</v>
      </c>
      <c r="I376" s="3">
        <v>1</v>
      </c>
      <c r="J376" s="3">
        <f>H376*S265</f>
        <v>4.3689320388349513</v>
      </c>
      <c r="K376" s="3">
        <v>0</v>
      </c>
      <c r="L376" s="3">
        <v>125.83</v>
      </c>
      <c r="M376" s="15">
        <v>-1000</v>
      </c>
      <c r="N376" s="10">
        <f>H376*I376*L376+(J376)+(K376)</f>
        <v>1057.5159022430532</v>
      </c>
      <c r="O376" s="3">
        <f>(DATE(2005,12,20)-E376)/365</f>
        <v>0.45753424657534247</v>
      </c>
      <c r="P376" s="12">
        <f t="shared" si="84"/>
        <v>5.7515902243053231E-2</v>
      </c>
      <c r="Q376" s="12">
        <f t="shared" si="85"/>
        <v>0.13000967384772233</v>
      </c>
    </row>
    <row r="377" spans="5:17" x14ac:dyDescent="0.25">
      <c r="E377" s="2">
        <v>38625</v>
      </c>
      <c r="F377" s="13">
        <f t="shared" si="83"/>
        <v>39359.502739726027</v>
      </c>
      <c r="G377" s="3">
        <v>123.04</v>
      </c>
      <c r="H377" s="3">
        <f t="shared" si="82"/>
        <v>8.1274382314694407</v>
      </c>
      <c r="I377" s="3">
        <v>1</v>
      </c>
      <c r="J377" s="3">
        <f>H377*SUM(S266:S273)</f>
        <v>40.994798439531863</v>
      </c>
      <c r="K377" s="3">
        <v>0</v>
      </c>
      <c r="L377" s="3">
        <v>154.02000000000001</v>
      </c>
      <c r="M377" s="15">
        <v>-1000</v>
      </c>
      <c r="N377" s="10">
        <f>H377*I377*L377+(J377)+(K377)</f>
        <v>1292.7828348504552</v>
      </c>
      <c r="O377" s="3">
        <f>(DATE(2007,10,4)-E377)/365</f>
        <v>2.010958904109589</v>
      </c>
      <c r="P377" s="12">
        <f t="shared" si="84"/>
        <v>0.2927828348504552</v>
      </c>
      <c r="Q377" s="12">
        <f t="shared" si="85"/>
        <v>0.13621077662950554</v>
      </c>
    </row>
    <row r="378" spans="5:17" x14ac:dyDescent="0.25">
      <c r="E378" s="2">
        <v>38625</v>
      </c>
      <c r="F378" s="13">
        <f t="shared" ca="1" si="83"/>
        <v>41657.075342465752</v>
      </c>
      <c r="G378" s="3">
        <v>123.04</v>
      </c>
      <c r="H378" s="3">
        <f t="shared" si="82"/>
        <v>8.1274382314694407</v>
      </c>
      <c r="I378" s="3">
        <v>1</v>
      </c>
      <c r="J378" s="3">
        <f>H378*SUM(S266:S298)</f>
        <v>178.90929778933682</v>
      </c>
      <c r="K378" s="3">
        <v>0</v>
      </c>
      <c r="L378" s="3">
        <f>'Data (ignore)'!$B$1188</f>
        <v>184.66</v>
      </c>
      <c r="M378" s="15">
        <v>-1000</v>
      </c>
      <c r="N378" s="10">
        <f>H378*I378*L378+(J378)+(K378)</f>
        <v>1679.7220416124835</v>
      </c>
      <c r="O378" s="3">
        <f ca="1">($AA$17-E378)/365</f>
        <v>8.3013698630136989</v>
      </c>
      <c r="P378" s="12">
        <f t="shared" si="84"/>
        <v>0.67972204161248351</v>
      </c>
      <c r="Q378" s="12">
        <f t="shared" ca="1" si="85"/>
        <v>6.4467878447693527E-2</v>
      </c>
    </row>
    <row r="379" spans="5:17" x14ac:dyDescent="0.25">
      <c r="E379" s="2">
        <v>38625</v>
      </c>
      <c r="F379" s="13">
        <f t="shared" ca="1" si="83"/>
        <v>41657.075342465752</v>
      </c>
      <c r="G379" s="3">
        <v>123.04</v>
      </c>
      <c r="H379" s="3">
        <f t="shared" si="82"/>
        <v>8.1274382314694407</v>
      </c>
      <c r="I379" s="3">
        <v>1</v>
      </c>
      <c r="J379" s="3">
        <f>H379*SUM(S266:S298)</f>
        <v>178.90929778933682</v>
      </c>
      <c r="K379" s="3">
        <v>0</v>
      </c>
      <c r="L379" s="3">
        <f>'Data (ignore)'!$B$1188</f>
        <v>184.66</v>
      </c>
      <c r="M379" s="15">
        <v>-1000</v>
      </c>
      <c r="N379" s="10">
        <f>H379*I379*L379+(J379)+(K379)</f>
        <v>1679.7220416124835</v>
      </c>
      <c r="O379" s="3">
        <f ca="1">($AA$17-E379)/365</f>
        <v>8.3013698630136989</v>
      </c>
      <c r="P379" s="12">
        <f t="shared" si="84"/>
        <v>0.67972204161248351</v>
      </c>
      <c r="Q379" s="12">
        <f t="shared" ca="1" si="85"/>
        <v>6.4467878447693527E-2</v>
      </c>
    </row>
    <row r="380" spans="5:17" x14ac:dyDescent="0.25">
      <c r="E380" s="2">
        <v>38685</v>
      </c>
      <c r="F380" s="13">
        <f t="shared" si="83"/>
        <v>39060.256849315068</v>
      </c>
      <c r="G380" s="3">
        <v>126.09</v>
      </c>
      <c r="H380" s="3">
        <f t="shared" si="82"/>
        <v>7.9308430486160679</v>
      </c>
      <c r="I380" s="3">
        <v>1</v>
      </c>
      <c r="J380" s="3">
        <f>H380*SUM(S266:S269)</f>
        <v>18.439210088032361</v>
      </c>
      <c r="K380" s="3">
        <v>0</v>
      </c>
      <c r="L380" s="3">
        <v>141.83000000000001</v>
      </c>
      <c r="M380" s="15">
        <v>-1000</v>
      </c>
      <c r="N380" s="10">
        <f t="shared" ref="N380:N392" si="86">H380*I380*L380+(J380)+(K380)</f>
        <v>1143.2706796732493</v>
      </c>
      <c r="O380" s="3">
        <f>(DATE(2006,12,9)-E380)/365</f>
        <v>1.0273972602739727</v>
      </c>
      <c r="P380" s="12">
        <f t="shared" si="84"/>
        <v>0.14327067967324933</v>
      </c>
      <c r="Q380" s="12">
        <f t="shared" si="85"/>
        <v>0.13919592808421544</v>
      </c>
    </row>
    <row r="381" spans="5:17" x14ac:dyDescent="0.25">
      <c r="E381" s="2">
        <v>38719</v>
      </c>
      <c r="F381" s="13">
        <f t="shared" si="83"/>
        <v>39979.863013698632</v>
      </c>
      <c r="G381" s="3">
        <v>126.7</v>
      </c>
      <c r="H381" s="3">
        <f t="shared" si="82"/>
        <v>7.8926598263614833</v>
      </c>
      <c r="I381" s="3">
        <v>1</v>
      </c>
      <c r="J381" s="3">
        <f>H381*SUM(S266:S279)</f>
        <v>71.83109707971586</v>
      </c>
      <c r="K381" s="3">
        <v>0</v>
      </c>
      <c r="L381" s="3">
        <v>92.9</v>
      </c>
      <c r="M381" s="15">
        <v>-1000</v>
      </c>
      <c r="N381" s="10">
        <f t="shared" si="86"/>
        <v>805.05919494869772</v>
      </c>
      <c r="O381" s="3">
        <f>(DATE(2009,6,15)-E381)/365</f>
        <v>3.452054794520548</v>
      </c>
      <c r="P381" s="12">
        <f t="shared" si="84"/>
        <v>-0.19494080505130229</v>
      </c>
      <c r="Q381" s="12">
        <f t="shared" si="85"/>
        <v>-6.0882437961927161E-2</v>
      </c>
    </row>
    <row r="382" spans="5:17" x14ac:dyDescent="0.25">
      <c r="E382" s="2">
        <v>38723</v>
      </c>
      <c r="F382" s="13">
        <f t="shared" ca="1" si="83"/>
        <v>41657.008219178082</v>
      </c>
      <c r="G382" s="3">
        <v>128.44</v>
      </c>
      <c r="H382" s="3">
        <f t="shared" si="82"/>
        <v>7.785736530675802</v>
      </c>
      <c r="I382" s="3">
        <v>1</v>
      </c>
      <c r="J382" s="3">
        <f>H382*SUM(S266:S298)</f>
        <v>171.38741824976645</v>
      </c>
      <c r="K382" s="3">
        <v>0</v>
      </c>
      <c r="L382" s="3">
        <f>'Data (ignore)'!$B$1188</f>
        <v>184.66</v>
      </c>
      <c r="M382" s="15">
        <v>-1000</v>
      </c>
      <c r="N382" s="10">
        <f t="shared" si="86"/>
        <v>1609.10152600436</v>
      </c>
      <c r="O382" s="3">
        <f ca="1">($AA$17-E382)/365</f>
        <v>8.0328767123287665</v>
      </c>
      <c r="P382" s="12">
        <f t="shared" si="84"/>
        <v>0.60910152600436007</v>
      </c>
      <c r="Q382" s="12">
        <f t="shared" ca="1" si="85"/>
        <v>6.1004543176465198E-2</v>
      </c>
    </row>
    <row r="383" spans="5:17" x14ac:dyDescent="0.25">
      <c r="E383" s="2">
        <v>38779</v>
      </c>
      <c r="F383" s="13">
        <f t="shared" ca="1" si="83"/>
        <v>41656.969863013699</v>
      </c>
      <c r="G383" s="3">
        <v>128.76</v>
      </c>
      <c r="H383" s="3">
        <f t="shared" si="82"/>
        <v>7.7663870767319052</v>
      </c>
      <c r="I383" s="3">
        <v>1</v>
      </c>
      <c r="J383" s="3">
        <f>H383*SUM(S267:S298)</f>
        <v>165.74246660453559</v>
      </c>
      <c r="K383" s="3">
        <v>0</v>
      </c>
      <c r="L383" s="3">
        <f>'Data (ignore)'!$B$1188</f>
        <v>184.66</v>
      </c>
      <c r="M383" s="15">
        <v>-1000</v>
      </c>
      <c r="N383" s="10">
        <f t="shared" si="86"/>
        <v>1599.8835041938491</v>
      </c>
      <c r="O383" s="3">
        <f ca="1">($AA$17-E383)/365</f>
        <v>7.8794520547945206</v>
      </c>
      <c r="P383" s="12">
        <f t="shared" si="84"/>
        <v>0.59988350419384917</v>
      </c>
      <c r="Q383" s="12">
        <f t="shared" ca="1" si="85"/>
        <v>6.1454394084673902E-2</v>
      </c>
    </row>
    <row r="384" spans="5:17" x14ac:dyDescent="0.25">
      <c r="E384" s="2">
        <v>38833</v>
      </c>
      <c r="F384" s="13">
        <f t="shared" si="83"/>
        <v>39086.173287671234</v>
      </c>
      <c r="G384" s="3">
        <v>130.4</v>
      </c>
      <c r="H384" s="3">
        <f t="shared" si="82"/>
        <v>7.668711656441717</v>
      </c>
      <c r="I384" s="3">
        <v>1</v>
      </c>
      <c r="J384" s="3">
        <f>H384*SUM(S268:S269)</f>
        <v>8.6963190184049068</v>
      </c>
      <c r="K384" s="3">
        <v>0</v>
      </c>
      <c r="L384" s="3">
        <v>141.66999999999999</v>
      </c>
      <c r="M384" s="15">
        <v>-1000</v>
      </c>
      <c r="N384" s="10">
        <f t="shared" si="86"/>
        <v>1095.1226993865027</v>
      </c>
      <c r="O384" s="3">
        <f>(DATE(2007,1,4)-E384)/365</f>
        <v>0.69315068493150689</v>
      </c>
      <c r="P384" s="12">
        <f t="shared" si="84"/>
        <v>9.5122699386502751E-2</v>
      </c>
      <c r="Q384" s="12">
        <f t="shared" si="85"/>
        <v>0.14007250138643701</v>
      </c>
    </row>
    <row r="385" spans="5:17" x14ac:dyDescent="0.25">
      <c r="E385" s="2">
        <v>38888</v>
      </c>
      <c r="F385" s="13">
        <f t="shared" si="83"/>
        <v>39506.423287671234</v>
      </c>
      <c r="G385" s="3">
        <v>124.09</v>
      </c>
      <c r="H385" s="3">
        <f t="shared" si="82"/>
        <v>8.0586670964622442</v>
      </c>
      <c r="I385" s="3">
        <v>1</v>
      </c>
      <c r="J385" s="3">
        <f>H385*SUM(S269:S274)</f>
        <v>32.822951083890722</v>
      </c>
      <c r="K385" s="3">
        <v>0</v>
      </c>
      <c r="L385" s="3">
        <v>136.87</v>
      </c>
      <c r="M385" s="15">
        <v>-1000</v>
      </c>
      <c r="N385" s="10">
        <f t="shared" si="86"/>
        <v>1135.8127165766782</v>
      </c>
      <c r="O385" s="3">
        <f>(DATE(2008,2,28)-E385)/365</f>
        <v>1.6931506849315068</v>
      </c>
      <c r="P385" s="12">
        <f t="shared" si="84"/>
        <v>0.13581271657667821</v>
      </c>
      <c r="Q385" s="12">
        <f t="shared" si="85"/>
        <v>7.8114721107571006E-2</v>
      </c>
    </row>
    <row r="386" spans="5:17" x14ac:dyDescent="0.25">
      <c r="E386" s="2">
        <v>38933</v>
      </c>
      <c r="F386" s="13">
        <f t="shared" si="83"/>
        <v>39086.10479452055</v>
      </c>
      <c r="G386" s="3">
        <v>128.19999999999999</v>
      </c>
      <c r="H386" s="3">
        <f t="shared" si="82"/>
        <v>7.8003120124805001</v>
      </c>
      <c r="I386" s="3">
        <v>1</v>
      </c>
      <c r="J386" s="3">
        <f>H386*S269</f>
        <v>4.5163806552262091</v>
      </c>
      <c r="K386" s="3">
        <v>0</v>
      </c>
      <c r="L386" s="3">
        <v>141.66999999999999</v>
      </c>
      <c r="M386" s="15">
        <v>-1000</v>
      </c>
      <c r="N386" s="10">
        <f t="shared" si="86"/>
        <v>1109.5865834633385</v>
      </c>
      <c r="O386" s="3">
        <f>(DATE(2007,1,4)-E386)/365</f>
        <v>0.41917808219178082</v>
      </c>
      <c r="P386" s="12">
        <f t="shared" si="84"/>
        <v>0.10958658346333845</v>
      </c>
      <c r="Q386" s="12">
        <f t="shared" si="85"/>
        <v>0.28155572696166131</v>
      </c>
    </row>
    <row r="387" spans="5:17" x14ac:dyDescent="0.25">
      <c r="E387" s="2">
        <v>38957</v>
      </c>
      <c r="F387" s="13">
        <f t="shared" ca="1" si="83"/>
        <v>41656.847945205482</v>
      </c>
      <c r="G387" s="3">
        <v>130.43</v>
      </c>
      <c r="H387" s="3">
        <f t="shared" si="82"/>
        <v>7.6669477880855625</v>
      </c>
      <c r="I387" s="3">
        <v>1</v>
      </c>
      <c r="J387" s="3">
        <f>H387*SUM(S269:S298)</f>
        <v>155.38603082113011</v>
      </c>
      <c r="K387" s="3">
        <v>0</v>
      </c>
      <c r="L387" s="3">
        <f>'Data (ignore)'!$B$1188</f>
        <v>184.66</v>
      </c>
      <c r="M387" s="15">
        <v>-1000</v>
      </c>
      <c r="N387" s="10">
        <f t="shared" si="86"/>
        <v>1571.1646093690101</v>
      </c>
      <c r="O387" s="3">
        <f ca="1">($AA$17-E387)/365</f>
        <v>7.3917808219178083</v>
      </c>
      <c r="P387" s="12">
        <f t="shared" si="84"/>
        <v>0.57116460936901015</v>
      </c>
      <c r="Q387" s="12">
        <f t="shared" ca="1" si="85"/>
        <v>6.3030998349900003E-2</v>
      </c>
    </row>
    <row r="388" spans="5:17" x14ac:dyDescent="0.25">
      <c r="E388" s="2">
        <v>39156</v>
      </c>
      <c r="F388" s="13">
        <f t="shared" ca="1" si="83"/>
        <v>41656.711643835617</v>
      </c>
      <c r="G388" s="3">
        <v>139.47</v>
      </c>
      <c r="H388" s="3">
        <f t="shared" si="82"/>
        <v>7.1700007170000717</v>
      </c>
      <c r="I388" s="3">
        <v>1</v>
      </c>
      <c r="J388" s="3">
        <f>H388*SUM(S271:S298)</f>
        <v>135.47716354771637</v>
      </c>
      <c r="K388" s="3">
        <v>0</v>
      </c>
      <c r="L388" s="3">
        <f>'Data (ignore)'!$B$1188</f>
        <v>184.66</v>
      </c>
      <c r="M388" s="15">
        <v>-1000</v>
      </c>
      <c r="N388" s="10">
        <f t="shared" si="86"/>
        <v>1459.4894959489495</v>
      </c>
      <c r="O388" s="3">
        <f ca="1">($AA$17-E388)/365</f>
        <v>6.8465753424657532</v>
      </c>
      <c r="P388" s="12">
        <f t="shared" si="84"/>
        <v>0.4594894959489495</v>
      </c>
      <c r="Q388" s="12">
        <f t="shared" ca="1" si="85"/>
        <v>5.6775984658361978E-2</v>
      </c>
    </row>
    <row r="389" spans="5:17" x14ac:dyDescent="0.25">
      <c r="E389" s="2">
        <v>39248</v>
      </c>
      <c r="F389" s="13">
        <f t="shared" si="83"/>
        <v>40226.669863013696</v>
      </c>
      <c r="G389" s="3">
        <v>153.07</v>
      </c>
      <c r="H389" s="3">
        <f t="shared" si="82"/>
        <v>6.5329587770301174</v>
      </c>
      <c r="I389" s="3">
        <v>1</v>
      </c>
      <c r="J389" s="3">
        <f>H389*SUM(S272:S282)</f>
        <v>46.044293460508271</v>
      </c>
      <c r="K389" s="3">
        <v>0</v>
      </c>
      <c r="L389" s="3">
        <v>110.26</v>
      </c>
      <c r="M389" s="15">
        <v>-1000</v>
      </c>
      <c r="N389" s="10">
        <f t="shared" si="86"/>
        <v>766.36832821584903</v>
      </c>
      <c r="O389" s="3">
        <f>(DATE(2010,2,17)-E389)/365</f>
        <v>2.6794520547945204</v>
      </c>
      <c r="P389" s="12">
        <f t="shared" si="84"/>
        <v>-0.23363167178415098</v>
      </c>
      <c r="Q389" s="12">
        <f t="shared" si="85"/>
        <v>-9.4536675301641004E-2</v>
      </c>
    </row>
    <row r="390" spans="5:17" x14ac:dyDescent="0.25">
      <c r="E390" s="2">
        <v>39288</v>
      </c>
      <c r="F390" s="13">
        <f t="shared" ca="1" si="83"/>
        <v>41656.621232876714</v>
      </c>
      <c r="G390" s="3">
        <v>151.61000000000001</v>
      </c>
      <c r="H390" s="3">
        <f t="shared" si="82"/>
        <v>6.5958709847635371</v>
      </c>
      <c r="I390" s="3">
        <v>1</v>
      </c>
      <c r="J390" s="3">
        <f>H390*SUM(S273:S298)</f>
        <v>116.66776597849746</v>
      </c>
      <c r="K390" s="3">
        <v>0</v>
      </c>
      <c r="L390" s="3">
        <f>'Data (ignore)'!$B$1188</f>
        <v>184.66</v>
      </c>
      <c r="M390" s="15">
        <v>-1000</v>
      </c>
      <c r="N390" s="10">
        <f t="shared" si="86"/>
        <v>1334.6613020249322</v>
      </c>
      <c r="O390" s="3">
        <f t="shared" ref="O390:O396" ca="1" si="87">($AA$17-E390)/365</f>
        <v>6.484931506849315</v>
      </c>
      <c r="P390" s="12">
        <f t="shared" si="84"/>
        <v>0.33466130202493216</v>
      </c>
      <c r="Q390" s="12">
        <f t="shared" ca="1" si="85"/>
        <v>4.5520792780585184E-2</v>
      </c>
    </row>
    <row r="391" spans="5:17" x14ac:dyDescent="0.25">
      <c r="E391" s="2">
        <v>39367</v>
      </c>
      <c r="F391" s="13">
        <f t="shared" ca="1" si="83"/>
        <v>41656.56712328767</v>
      </c>
      <c r="G391" s="3">
        <v>156.33000000000001</v>
      </c>
      <c r="H391" s="3">
        <f t="shared" si="82"/>
        <v>6.396724876863046</v>
      </c>
      <c r="I391" s="3">
        <v>1</v>
      </c>
      <c r="J391" s="3">
        <f>H391*SUM(S274:S298)</f>
        <v>108.54602443548903</v>
      </c>
      <c r="K391" s="3">
        <v>0</v>
      </c>
      <c r="L391" s="3">
        <f>'Data (ignore)'!$B$1188</f>
        <v>184.66</v>
      </c>
      <c r="M391" s="15">
        <v>-1000</v>
      </c>
      <c r="N391" s="10">
        <f t="shared" si="86"/>
        <v>1289.765240197019</v>
      </c>
      <c r="O391" s="3">
        <f t="shared" ca="1" si="87"/>
        <v>6.2684931506849315</v>
      </c>
      <c r="P391" s="12">
        <f t="shared" si="84"/>
        <v>0.28976524019701899</v>
      </c>
      <c r="Q391" s="12">
        <f t="shared" ca="1" si="85"/>
        <v>4.1428702116802052E-2</v>
      </c>
    </row>
    <row r="392" spans="5:17" x14ac:dyDescent="0.25">
      <c r="E392" s="2">
        <v>39374</v>
      </c>
      <c r="F392" s="13">
        <f t="shared" ca="1" si="83"/>
        <v>41656.562328767126</v>
      </c>
      <c r="G392" s="3">
        <v>149.66999999999999</v>
      </c>
      <c r="H392" s="3">
        <f t="shared" si="82"/>
        <v>6.6813656711431824</v>
      </c>
      <c r="I392" s="3">
        <v>1</v>
      </c>
      <c r="J392" s="3">
        <f>H392*SUM(S274:S298)</f>
        <v>113.37609407362866</v>
      </c>
      <c r="K392" s="3">
        <v>0</v>
      </c>
      <c r="L392" s="3">
        <f>'Data (ignore)'!$B$1188</f>
        <v>184.66</v>
      </c>
      <c r="M392" s="15">
        <v>-1000</v>
      </c>
      <c r="N392" s="10">
        <f t="shared" si="86"/>
        <v>1347.1570789069285</v>
      </c>
      <c r="O392" s="3">
        <f t="shared" ca="1" si="87"/>
        <v>6.2493150684931509</v>
      </c>
      <c r="P392" s="12">
        <f t="shared" si="84"/>
        <v>0.34715707890692854</v>
      </c>
      <c r="Q392" s="12">
        <f t="shared" ca="1" si="85"/>
        <v>4.8839868763076444E-2</v>
      </c>
    </row>
    <row r="393" spans="5:17" x14ac:dyDescent="0.25">
      <c r="E393" s="2">
        <v>39394</v>
      </c>
      <c r="F393" s="13">
        <f t="shared" ca="1" si="83"/>
        <v>41656.548630136989</v>
      </c>
      <c r="G393" s="3">
        <v>147.16</v>
      </c>
      <c r="H393" s="3">
        <f t="shared" si="82"/>
        <v>6.7953248165262305</v>
      </c>
      <c r="I393" s="3">
        <v>1</v>
      </c>
      <c r="J393" s="3">
        <f>H393*SUM(S274:S298)</f>
        <v>115.30986681163361</v>
      </c>
      <c r="K393" s="3">
        <v>0</v>
      </c>
      <c r="L393" s="3">
        <f>'Data (ignore)'!$B$1188</f>
        <v>184.66</v>
      </c>
      <c r="M393" s="15">
        <v>-1000</v>
      </c>
      <c r="N393" s="10">
        <f>H393*I393*L393+(J393)+(K393)</f>
        <v>1370.1345474313673</v>
      </c>
      <c r="O393" s="3">
        <f t="shared" ca="1" si="87"/>
        <v>6.1945205479452055</v>
      </c>
      <c r="P393" s="12">
        <f t="shared" si="84"/>
        <v>0.37013454743136731</v>
      </c>
      <c r="Q393" s="12">
        <f t="shared" ca="1" si="85"/>
        <v>5.2151056544605279E-2</v>
      </c>
    </row>
    <row r="394" spans="5:17" x14ac:dyDescent="0.25">
      <c r="E394" s="2">
        <v>39409</v>
      </c>
      <c r="F394" s="13">
        <f t="shared" ca="1" si="83"/>
        <v>41656.538356164383</v>
      </c>
      <c r="G394" s="3">
        <v>144.13</v>
      </c>
      <c r="H394" s="3">
        <f t="shared" si="82"/>
        <v>6.9381808089918824</v>
      </c>
      <c r="I394" s="3">
        <v>1</v>
      </c>
      <c r="J394" s="3">
        <f>H394*SUM(S274:S298)</f>
        <v>117.73399014778326</v>
      </c>
      <c r="K394" s="3">
        <v>0</v>
      </c>
      <c r="L394" s="3">
        <f>'Data (ignore)'!$B$1188</f>
        <v>184.66</v>
      </c>
      <c r="M394" s="15">
        <v>-1000</v>
      </c>
      <c r="N394" s="10">
        <f>H394*I394*L394+(J394)+(K394)</f>
        <v>1398.9384583362244</v>
      </c>
      <c r="O394" s="3">
        <f t="shared" ca="1" si="87"/>
        <v>6.1534246575342468</v>
      </c>
      <c r="P394" s="12">
        <f t="shared" si="84"/>
        <v>0.39893845833622438</v>
      </c>
      <c r="Q394" s="12">
        <f t="shared" ca="1" si="85"/>
        <v>5.6072896683678985E-2</v>
      </c>
    </row>
    <row r="395" spans="5:17" x14ac:dyDescent="0.25">
      <c r="E395" s="2">
        <v>39412</v>
      </c>
      <c r="F395" s="13">
        <f t="shared" ca="1" si="83"/>
        <v>41656.536301369866</v>
      </c>
      <c r="G395" s="3">
        <v>140.94999999999999</v>
      </c>
      <c r="H395" s="3">
        <f t="shared" si="82"/>
        <v>7.0947144377438818</v>
      </c>
      <c r="I395" s="3">
        <v>1</v>
      </c>
      <c r="J395" s="3">
        <f>H395*SUM(S274:S298)</f>
        <v>120.39020929407594</v>
      </c>
      <c r="K395" s="3">
        <v>0</v>
      </c>
      <c r="L395" s="3">
        <f>'Data (ignore)'!$B$1188</f>
        <v>184.66</v>
      </c>
      <c r="M395" s="15">
        <v>-1000</v>
      </c>
      <c r="N395" s="10">
        <f>H395*I395*L395+(J395)+(K395)</f>
        <v>1430.5001773678612</v>
      </c>
      <c r="O395" s="3">
        <f t="shared" ca="1" si="87"/>
        <v>6.1452054794520548</v>
      </c>
      <c r="P395" s="12">
        <f t="shared" si="84"/>
        <v>0.43050017736786117</v>
      </c>
      <c r="Q395" s="12">
        <f t="shared" ca="1" si="85"/>
        <v>5.9991331269787729E-2</v>
      </c>
    </row>
    <row r="396" spans="5:17" x14ac:dyDescent="0.25">
      <c r="E396" s="2">
        <v>39489</v>
      </c>
      <c r="F396" s="13">
        <f t="shared" ca="1" si="83"/>
        <v>41656.483561643836</v>
      </c>
      <c r="G396" s="3">
        <v>133.75</v>
      </c>
      <c r="H396" s="3">
        <f t="shared" si="82"/>
        <v>7.4766355140186915</v>
      </c>
      <c r="I396" s="3">
        <v>1</v>
      </c>
      <c r="J396" s="3">
        <f>H396*SUM(S275:S298)</f>
        <v>121.07663551401869</v>
      </c>
      <c r="K396" s="3">
        <v>0</v>
      </c>
      <c r="L396" s="3">
        <f>'Data (ignore)'!$B$1188</f>
        <v>184.66</v>
      </c>
      <c r="M396" s="15">
        <v>-1000</v>
      </c>
      <c r="N396" s="10">
        <f>H396*I396*L396+(J396)+(K396)</f>
        <v>1501.7121495327103</v>
      </c>
      <c r="O396" s="3">
        <f t="shared" ca="1" si="87"/>
        <v>5.934246575342466</v>
      </c>
      <c r="P396" s="12">
        <f t="shared" si="84"/>
        <v>0.50171214953271037</v>
      </c>
      <c r="Q396" s="12">
        <f t="shared" ca="1" si="85"/>
        <v>7.0920475815456685E-2</v>
      </c>
    </row>
    <row r="397" spans="5:17" x14ac:dyDescent="0.25">
      <c r="E397" s="2">
        <v>39554</v>
      </c>
      <c r="F397" s="13">
        <f t="shared" si="83"/>
        <v>39772.149315068491</v>
      </c>
      <c r="G397" s="3">
        <v>136.85</v>
      </c>
      <c r="H397" s="3">
        <f t="shared" si="82"/>
        <v>7.3072707343807091</v>
      </c>
      <c r="I397" s="3">
        <v>1</v>
      </c>
      <c r="J397" s="3">
        <f>H397/2*S276+H397/2*SUM(S276:S277)</f>
        <v>7.4132261600292289</v>
      </c>
      <c r="K397" s="3">
        <v>0</v>
      </c>
      <c r="L397" s="3">
        <f>(176+140)/2</f>
        <v>158</v>
      </c>
      <c r="M397" s="15">
        <v>-1000</v>
      </c>
      <c r="N397" s="10">
        <f>H397/2*88.5+H397/2*90.24+J397</f>
        <v>660.46401169163312</v>
      </c>
      <c r="O397" s="3">
        <f>((DATE(2008,10,10)+DATE(2008,12,31))/2-E397)/365</f>
        <v>0.59726027397260273</v>
      </c>
      <c r="P397" s="12">
        <f t="shared" si="84"/>
        <v>-0.3395359883083669</v>
      </c>
      <c r="Q397" s="12">
        <f t="shared" si="85"/>
        <v>-0.50068881253391728</v>
      </c>
    </row>
    <row r="398" spans="5:17" x14ac:dyDescent="0.25">
      <c r="E398" s="2">
        <v>39568</v>
      </c>
      <c r="F398" s="13">
        <f t="shared" si="83"/>
        <v>40087.355479452053</v>
      </c>
      <c r="G398" s="3">
        <v>138.26</v>
      </c>
      <c r="H398" s="3">
        <f t="shared" si="82"/>
        <v>7.2327498915087522</v>
      </c>
      <c r="I398" s="3">
        <v>1</v>
      </c>
      <c r="J398" s="3">
        <f>H398*SUM(S276:S281)</f>
        <v>26.515261102271083</v>
      </c>
      <c r="K398" s="3">
        <v>0</v>
      </c>
      <c r="L398" s="3">
        <v>102.97</v>
      </c>
      <c r="M398" s="15">
        <v>-1000</v>
      </c>
      <c r="N398" s="10">
        <f>H398*I398*L398+(J398)+(K398)</f>
        <v>771.27151743092736</v>
      </c>
      <c r="O398" s="3">
        <f>(DATE(2009,10,1)-E398)/365</f>
        <v>1.4219178082191781</v>
      </c>
      <c r="P398" s="12">
        <f t="shared" si="84"/>
        <v>-0.22872848256907263</v>
      </c>
      <c r="Q398" s="12">
        <f t="shared" si="85"/>
        <v>-0.16694121319341915</v>
      </c>
    </row>
    <row r="399" spans="5:17" x14ac:dyDescent="0.25">
      <c r="E399" s="2">
        <v>39575</v>
      </c>
      <c r="F399" s="13">
        <f t="shared" ca="1" si="83"/>
        <v>41656.424657534248</v>
      </c>
      <c r="G399" s="3">
        <v>139.52000000000001</v>
      </c>
      <c r="H399" s="3">
        <f t="shared" si="82"/>
        <v>7.1674311926605503</v>
      </c>
      <c r="I399" s="3">
        <v>1</v>
      </c>
      <c r="J399" s="3">
        <f>H399*SUM(S276:S298)</f>
        <v>111.46788990825688</v>
      </c>
      <c r="K399" s="3">
        <v>0</v>
      </c>
      <c r="L399" s="3">
        <f>'Data (ignore)'!$B$1188</f>
        <v>184.66</v>
      </c>
      <c r="M399" s="15">
        <v>-1000</v>
      </c>
      <c r="N399" s="10">
        <f>H399*I399*L399+(J399)+(K399)</f>
        <v>1435.005733944954</v>
      </c>
      <c r="O399" s="3">
        <f t="shared" ref="O399:O405" ca="1" si="88">($AA$17-E399)/365</f>
        <v>5.6986301369863011</v>
      </c>
      <c r="P399" s="12">
        <f t="shared" si="84"/>
        <v>0.43500573394495406</v>
      </c>
      <c r="Q399" s="12">
        <f t="shared" ca="1" si="85"/>
        <v>6.542969443208313E-2</v>
      </c>
    </row>
    <row r="400" spans="5:17" x14ac:dyDescent="0.25">
      <c r="E400" s="2">
        <v>39645</v>
      </c>
      <c r="F400" s="13">
        <f t="shared" ca="1" si="83"/>
        <v>41656.376712328769</v>
      </c>
      <c r="G400" s="3">
        <v>123.96</v>
      </c>
      <c r="H400" s="3">
        <f t="shared" si="82"/>
        <v>8.0671184252984833</v>
      </c>
      <c r="I400" s="3">
        <v>1</v>
      </c>
      <c r="J400" s="3">
        <f>H400*SUM(S277:S298)</f>
        <v>120.06292352371734</v>
      </c>
      <c r="K400" s="3">
        <v>0</v>
      </c>
      <c r="L400" s="3">
        <f>'Data (ignore)'!$B$1188</f>
        <v>184.66</v>
      </c>
      <c r="M400" s="15">
        <v>-1000</v>
      </c>
      <c r="N400" s="10">
        <f t="shared" ref="N400:N414" si="89">H400*I400*L400+(J400)+(K400)</f>
        <v>1609.7370119393352</v>
      </c>
      <c r="O400" s="3">
        <f t="shared" ca="1" si="88"/>
        <v>5.506849315068493</v>
      </c>
      <c r="P400" s="12">
        <f t="shared" si="84"/>
        <v>0.60973701193933516</v>
      </c>
      <c r="Q400" s="12">
        <f t="shared" ca="1" si="85"/>
        <v>9.0297583230191769E-2</v>
      </c>
    </row>
    <row r="401" spans="5:17" x14ac:dyDescent="0.25">
      <c r="E401" s="2">
        <v>39645</v>
      </c>
      <c r="F401" s="13">
        <f t="shared" ca="1" si="83"/>
        <v>41656.376712328769</v>
      </c>
      <c r="G401" s="3">
        <v>123.96</v>
      </c>
      <c r="H401" s="3">
        <f t="shared" si="82"/>
        <v>8.0671184252984833</v>
      </c>
      <c r="I401" s="3">
        <v>1</v>
      </c>
      <c r="J401" s="3">
        <f>H401*SUM(S277:S298)</f>
        <v>120.06292352371734</v>
      </c>
      <c r="K401" s="3">
        <v>0</v>
      </c>
      <c r="L401" s="3">
        <f>'Data (ignore)'!$B$1188</f>
        <v>184.66</v>
      </c>
      <c r="M401" s="15">
        <v>-1000</v>
      </c>
      <c r="N401" s="10">
        <f t="shared" si="89"/>
        <v>1609.7370119393352</v>
      </c>
      <c r="O401" s="3">
        <f t="shared" ca="1" si="88"/>
        <v>5.506849315068493</v>
      </c>
      <c r="P401" s="12">
        <f t="shared" si="84"/>
        <v>0.60973701193933516</v>
      </c>
      <c r="Q401" s="12">
        <f t="shared" ca="1" si="85"/>
        <v>9.0297583230191769E-2</v>
      </c>
    </row>
    <row r="402" spans="5:17" x14ac:dyDescent="0.25">
      <c r="E402" s="2">
        <v>39645</v>
      </c>
      <c r="F402" s="13">
        <f t="shared" ca="1" si="83"/>
        <v>41656.376712328769</v>
      </c>
      <c r="G402" s="3">
        <v>123.96</v>
      </c>
      <c r="H402" s="3">
        <f>1000/G402</f>
        <v>8.0671184252984833</v>
      </c>
      <c r="I402" s="3">
        <v>1</v>
      </c>
      <c r="J402" s="3">
        <f>H402*SUM(S277:S298)</f>
        <v>120.06292352371734</v>
      </c>
      <c r="K402" s="3">
        <v>0</v>
      </c>
      <c r="L402" s="3">
        <f>'Data (ignore)'!$B$1188</f>
        <v>184.66</v>
      </c>
      <c r="M402" s="15">
        <v>-1000</v>
      </c>
      <c r="N402" s="10">
        <f t="shared" si="89"/>
        <v>1609.7370119393352</v>
      </c>
      <c r="O402" s="3">
        <f t="shared" ca="1" si="88"/>
        <v>5.506849315068493</v>
      </c>
      <c r="P402" s="12">
        <f t="shared" si="84"/>
        <v>0.60973701193933516</v>
      </c>
      <c r="Q402" s="12">
        <f t="shared" ca="1" si="85"/>
        <v>9.0297583230191769E-2</v>
      </c>
    </row>
    <row r="403" spans="5:17" x14ac:dyDescent="0.25">
      <c r="E403" s="2">
        <v>39645</v>
      </c>
      <c r="F403" s="13">
        <f t="shared" ca="1" si="83"/>
        <v>41656.376712328769</v>
      </c>
      <c r="G403" s="3">
        <v>123.96</v>
      </c>
      <c r="H403" s="3">
        <f>1000/G403</f>
        <v>8.0671184252984833</v>
      </c>
      <c r="I403" s="3">
        <v>1</v>
      </c>
      <c r="J403" s="3">
        <f>H403*SUM(S277:S298)</f>
        <v>120.06292352371734</v>
      </c>
      <c r="K403" s="3">
        <v>0</v>
      </c>
      <c r="L403" s="3">
        <f>'Data (ignore)'!$B$1188</f>
        <v>184.66</v>
      </c>
      <c r="M403" s="15">
        <v>-1000</v>
      </c>
      <c r="N403" s="10">
        <f t="shared" si="89"/>
        <v>1609.7370119393352</v>
      </c>
      <c r="O403" s="3">
        <f t="shared" ca="1" si="88"/>
        <v>5.506849315068493</v>
      </c>
      <c r="P403" s="12">
        <f t="shared" si="84"/>
        <v>0.60973701193933516</v>
      </c>
      <c r="Q403" s="12">
        <f t="shared" ca="1" si="85"/>
        <v>9.0297583230191769E-2</v>
      </c>
    </row>
    <row r="404" spans="5:17" x14ac:dyDescent="0.25">
      <c r="E404" s="2">
        <v>39645</v>
      </c>
      <c r="F404" s="13">
        <f t="shared" ca="1" si="83"/>
        <v>41656.376712328769</v>
      </c>
      <c r="G404" s="3">
        <v>123.96</v>
      </c>
      <c r="H404" s="3">
        <f>1000/G404</f>
        <v>8.0671184252984833</v>
      </c>
      <c r="I404" s="3">
        <v>1</v>
      </c>
      <c r="J404" s="3">
        <f>H404*SUM(S277:S298)</f>
        <v>120.06292352371734</v>
      </c>
      <c r="K404" s="3">
        <v>0</v>
      </c>
      <c r="L404" s="3">
        <f>'Data (ignore)'!$B$1188</f>
        <v>184.66</v>
      </c>
      <c r="M404" s="15">
        <v>-1000</v>
      </c>
      <c r="N404" s="10">
        <f t="shared" si="89"/>
        <v>1609.7370119393352</v>
      </c>
      <c r="O404" s="3">
        <f t="shared" ca="1" si="88"/>
        <v>5.506849315068493</v>
      </c>
      <c r="P404" s="12">
        <f t="shared" si="84"/>
        <v>0.60973701193933516</v>
      </c>
      <c r="Q404" s="12">
        <f t="shared" ca="1" si="85"/>
        <v>9.0297583230191769E-2</v>
      </c>
    </row>
    <row r="405" spans="5:17" x14ac:dyDescent="0.25">
      <c r="E405" s="2">
        <v>39672</v>
      </c>
      <c r="F405" s="13">
        <f t="shared" ca="1" si="83"/>
        <v>41656.358219178081</v>
      </c>
      <c r="G405" s="3">
        <v>129.35</v>
      </c>
      <c r="H405" s="3">
        <f t="shared" ref="H405:H482" si="90">1000/G405</f>
        <v>7.7309625048318518</v>
      </c>
      <c r="I405" s="3">
        <v>1</v>
      </c>
      <c r="J405" s="3">
        <f>H405*SUM(S277:S298)</f>
        <v>115.05991495941247</v>
      </c>
      <c r="K405" s="3">
        <v>0</v>
      </c>
      <c r="L405" s="3">
        <f>'Data (ignore)'!$B$1188</f>
        <v>184.66</v>
      </c>
      <c r="M405" s="15">
        <v>-1000</v>
      </c>
      <c r="N405" s="10">
        <f t="shared" si="89"/>
        <v>1542.6594511016622</v>
      </c>
      <c r="O405" s="3">
        <f t="shared" ca="1" si="88"/>
        <v>5.4328767123287669</v>
      </c>
      <c r="P405" s="12">
        <f t="shared" si="84"/>
        <v>0.54265945110166214</v>
      </c>
      <c r="Q405" s="12">
        <f t="shared" ca="1" si="85"/>
        <v>8.3063311327282507E-2</v>
      </c>
    </row>
    <row r="406" spans="5:17" x14ac:dyDescent="0.25">
      <c r="E406" s="2">
        <v>39744</v>
      </c>
      <c r="F406" s="13">
        <f t="shared" si="83"/>
        <v>40022.190410958901</v>
      </c>
      <c r="G406" s="3">
        <v>91.69</v>
      </c>
      <c r="H406" s="3">
        <f t="shared" si="90"/>
        <v>10.906314756243866</v>
      </c>
      <c r="I406" s="3">
        <v>1</v>
      </c>
      <c r="J406" s="3">
        <f>H406*SUM(S278:S280)</f>
        <v>19.60955393172647</v>
      </c>
      <c r="K406" s="3">
        <v>0</v>
      </c>
      <c r="L406" s="3">
        <v>97.89</v>
      </c>
      <c r="M406" s="15">
        <v>-1000</v>
      </c>
      <c r="N406" s="10">
        <f t="shared" si="89"/>
        <v>1087.2287054204385</v>
      </c>
      <c r="O406" s="3">
        <f>(DATE(2009,7,28)-E406)/365</f>
        <v>0.76164383561643834</v>
      </c>
      <c r="P406" s="12">
        <f t="shared" si="84"/>
        <v>8.7228705420438479E-2</v>
      </c>
      <c r="Q406" s="12">
        <f t="shared" si="85"/>
        <v>0.11605995618387932</v>
      </c>
    </row>
    <row r="407" spans="5:17" x14ac:dyDescent="0.25">
      <c r="E407" s="2">
        <v>39744</v>
      </c>
      <c r="F407" s="13">
        <f t="shared" si="83"/>
        <v>40570.565753424657</v>
      </c>
      <c r="G407" s="3">
        <v>91.69</v>
      </c>
      <c r="H407" s="3">
        <f t="shared" si="90"/>
        <v>10.906314756243866</v>
      </c>
      <c r="I407" s="3">
        <v>1</v>
      </c>
      <c r="J407" s="3">
        <f>H407*SUM(S278:S286)</f>
        <v>56.298396771730843</v>
      </c>
      <c r="K407" s="3">
        <v>0</v>
      </c>
      <c r="L407" s="3">
        <v>129.99</v>
      </c>
      <c r="M407" s="15">
        <v>-1000</v>
      </c>
      <c r="N407" s="10">
        <f t="shared" si="89"/>
        <v>1474.0102519358711</v>
      </c>
      <c r="O407" s="3">
        <f>(DATE(2011,1,27)-E407)/365</f>
        <v>2.2630136986301368</v>
      </c>
      <c r="P407" s="12">
        <f t="shared" si="84"/>
        <v>0.4740102519358711</v>
      </c>
      <c r="Q407" s="12">
        <f t="shared" si="85"/>
        <v>0.18702114466578323</v>
      </c>
    </row>
    <row r="408" spans="5:17" x14ac:dyDescent="0.25">
      <c r="E408" s="2">
        <v>39792</v>
      </c>
      <c r="F408" s="13">
        <f t="shared" si="83"/>
        <v>40515.495205479448</v>
      </c>
      <c r="G408" s="3">
        <v>90.11</v>
      </c>
      <c r="H408" s="3">
        <f t="shared" si="90"/>
        <v>11.097547442015316</v>
      </c>
      <c r="I408" s="3">
        <v>1</v>
      </c>
      <c r="J408" s="3">
        <f>H408*SUM(S278:S285)</f>
        <v>50.038841416047063</v>
      </c>
      <c r="K408" s="3">
        <v>0</v>
      </c>
      <c r="L408" s="3">
        <v>122.89</v>
      </c>
      <c r="M408" s="15">
        <v>-1000</v>
      </c>
      <c r="N408" s="10">
        <f t="shared" si="89"/>
        <v>1413.8164465653092</v>
      </c>
      <c r="O408" s="3">
        <f>(DATE(2010,12,3)-E408)/365</f>
        <v>1.9808219178082191</v>
      </c>
      <c r="P408" s="12">
        <f t="shared" si="84"/>
        <v>0.41381644656530919</v>
      </c>
      <c r="Q408" s="12">
        <f t="shared" si="85"/>
        <v>0.19103509452974321</v>
      </c>
    </row>
    <row r="409" spans="5:17" x14ac:dyDescent="0.25">
      <c r="E409" s="2">
        <v>39800</v>
      </c>
      <c r="F409" s="13">
        <f t="shared" ca="1" si="83"/>
        <v>41656.270547945205</v>
      </c>
      <c r="G409" s="3">
        <v>89.29</v>
      </c>
      <c r="H409" s="3">
        <f t="shared" si="90"/>
        <v>11.19946242580356</v>
      </c>
      <c r="I409" s="3">
        <v>1</v>
      </c>
      <c r="J409" s="3">
        <f>H409*SUM(S278:S298)</f>
        <v>158.94277074700418</v>
      </c>
      <c r="K409" s="3">
        <v>0</v>
      </c>
      <c r="L409" s="3">
        <f>'Data (ignore)'!$B$1188</f>
        <v>184.66</v>
      </c>
      <c r="M409" s="15">
        <v>-1000</v>
      </c>
      <c r="N409" s="10">
        <f t="shared" si="89"/>
        <v>2227.0355022958893</v>
      </c>
      <c r="O409" s="3">
        <f ca="1">($AA$17-E409)/365</f>
        <v>5.0821917808219181</v>
      </c>
      <c r="P409" s="12">
        <f t="shared" si="84"/>
        <v>1.2270355022958892</v>
      </c>
      <c r="Q409" s="12">
        <f t="shared" ca="1" si="85"/>
        <v>0.17063284235855236</v>
      </c>
    </row>
    <row r="410" spans="5:17" x14ac:dyDescent="0.25">
      <c r="E410" s="2">
        <v>39800</v>
      </c>
      <c r="F410" s="13">
        <f t="shared" si="83"/>
        <v>39828.019178082192</v>
      </c>
      <c r="G410" s="3">
        <v>89.29</v>
      </c>
      <c r="H410" s="3">
        <f t="shared" si="90"/>
        <v>11.19946242580356</v>
      </c>
      <c r="I410" s="3">
        <v>1</v>
      </c>
      <c r="J410" s="3">
        <f>H410*S278</f>
        <v>8.0524134841527601</v>
      </c>
      <c r="K410" s="3">
        <v>0</v>
      </c>
      <c r="L410" s="3">
        <v>84.4</v>
      </c>
      <c r="M410" s="15">
        <v>-1000</v>
      </c>
      <c r="N410" s="10">
        <f t="shared" si="89"/>
        <v>953.28704222197337</v>
      </c>
      <c r="O410" s="3">
        <f>(DATE(2009,1,15)-E410)/365</f>
        <v>7.6712328767123292E-2</v>
      </c>
      <c r="P410" s="12">
        <f t="shared" si="84"/>
        <v>-4.6712957778026636E-2</v>
      </c>
      <c r="Q410" s="12">
        <f t="shared" si="85"/>
        <v>-0.46399855996026174</v>
      </c>
    </row>
    <row r="411" spans="5:17" x14ac:dyDescent="0.25">
      <c r="E411" s="2">
        <v>39812</v>
      </c>
      <c r="F411" s="13">
        <f t="shared" si="83"/>
        <v>39953.096575342468</v>
      </c>
      <c r="G411" s="3">
        <v>88.97</v>
      </c>
      <c r="H411" s="3">
        <f t="shared" si="90"/>
        <v>11.239743733842868</v>
      </c>
      <c r="I411" s="3">
        <v>1</v>
      </c>
      <c r="J411" s="3">
        <f>H411*S279</f>
        <v>6.3054962346858492</v>
      </c>
      <c r="K411" s="3">
        <v>0</v>
      </c>
      <c r="L411" s="3">
        <v>90.51</v>
      </c>
      <c r="M411" s="15">
        <v>-1000</v>
      </c>
      <c r="N411" s="10">
        <f t="shared" si="89"/>
        <v>1023.6147015848039</v>
      </c>
      <c r="O411" s="3">
        <f>(DATE(2009,5,20)-E411)/365</f>
        <v>0.38630136986301372</v>
      </c>
      <c r="P411" s="12">
        <f t="shared" si="84"/>
        <v>2.3614701584803926E-2</v>
      </c>
      <c r="Q411" s="12">
        <f t="shared" si="85"/>
        <v>6.2282223994033492E-2</v>
      </c>
    </row>
    <row r="412" spans="5:17" x14ac:dyDescent="0.25">
      <c r="E412" s="2">
        <v>39855</v>
      </c>
      <c r="F412" s="13">
        <f t="shared" ca="1" si="83"/>
        <v>41656.232876712325</v>
      </c>
      <c r="G412" s="3">
        <v>83.6</v>
      </c>
      <c r="H412" s="3">
        <f t="shared" si="90"/>
        <v>11.961722488038278</v>
      </c>
      <c r="I412" s="3">
        <v>1</v>
      </c>
      <c r="J412" s="3">
        <f>H412*SUM(S279:S298)</f>
        <v>161.1602870813397</v>
      </c>
      <c r="K412" s="3">
        <v>0</v>
      </c>
      <c r="L412" s="3">
        <f>'Data (ignore)'!$B$1188</f>
        <v>184.66</v>
      </c>
      <c r="M412" s="15">
        <v>-1000</v>
      </c>
      <c r="N412" s="10">
        <f t="shared" si="89"/>
        <v>2370.0119617224882</v>
      </c>
      <c r="O412" s="3">
        <f ca="1">($AA$17-E412)/365</f>
        <v>4.9315068493150687</v>
      </c>
      <c r="P412" s="12">
        <f t="shared" si="84"/>
        <v>1.3700119617224882</v>
      </c>
      <c r="Q412" s="12">
        <f t="shared" ca="1" si="85"/>
        <v>0.19121754487222575</v>
      </c>
    </row>
    <row r="413" spans="5:17" x14ac:dyDescent="0.25">
      <c r="E413" s="2">
        <v>39855</v>
      </c>
      <c r="F413" s="13">
        <f t="shared" si="83"/>
        <v>41629.214383561644</v>
      </c>
      <c r="G413" s="3">
        <v>83.6</v>
      </c>
      <c r="H413" s="3">
        <f t="shared" si="90"/>
        <v>11.961722488038278</v>
      </c>
      <c r="I413" s="3">
        <v>1</v>
      </c>
      <c r="J413" s="3">
        <f>H413*SUM(S279:S298)</f>
        <v>161.1602870813397</v>
      </c>
      <c r="K413" s="3">
        <v>0</v>
      </c>
      <c r="L413" s="3">
        <v>181.56</v>
      </c>
      <c r="M413" s="15">
        <v>-1000</v>
      </c>
      <c r="N413" s="10">
        <f t="shared" si="89"/>
        <v>2332.9306220095696</v>
      </c>
      <c r="O413" s="3">
        <f>(DATE(2013,12,20)-E413)/365</f>
        <v>4.8575342465753426</v>
      </c>
      <c r="P413" s="12">
        <f t="shared" si="84"/>
        <v>1.3329306220095696</v>
      </c>
      <c r="Q413" s="12">
        <f t="shared" si="85"/>
        <v>0.19052464487704435</v>
      </c>
    </row>
    <row r="414" spans="5:17" x14ac:dyDescent="0.25">
      <c r="E414" s="2">
        <v>39874</v>
      </c>
      <c r="F414" s="13">
        <f t="shared" ca="1" si="83"/>
        <v>41656.219863013699</v>
      </c>
      <c r="G414" s="3">
        <v>70.599999999999994</v>
      </c>
      <c r="H414" s="3">
        <f t="shared" si="90"/>
        <v>14.164305949008499</v>
      </c>
      <c r="I414" s="3">
        <v>1</v>
      </c>
      <c r="J414" s="3">
        <f>H414*SUM(S279:S298)</f>
        <v>190.83569405099149</v>
      </c>
      <c r="K414" s="3">
        <v>0</v>
      </c>
      <c r="L414" s="3">
        <f>'Data (ignore)'!$B$1188</f>
        <v>184.66</v>
      </c>
      <c r="M414" s="15">
        <v>-1000</v>
      </c>
      <c r="N414" s="10">
        <f t="shared" si="89"/>
        <v>2806.4164305949012</v>
      </c>
      <c r="O414" s="3">
        <f ca="1">($AA$17-E414)/365</f>
        <v>4.8794520547945206</v>
      </c>
      <c r="P414" s="12">
        <f t="shared" si="84"/>
        <v>1.8064164305949011</v>
      </c>
      <c r="Q414" s="12">
        <f t="shared" ca="1" si="85"/>
        <v>0.23550572556018223</v>
      </c>
    </row>
    <row r="415" spans="5:17" x14ac:dyDescent="0.25">
      <c r="E415" s="2">
        <v>39884</v>
      </c>
      <c r="F415" s="13">
        <f t="shared" ca="1" si="83"/>
        <v>40784.616438356163</v>
      </c>
      <c r="G415" s="3">
        <v>75.5</v>
      </c>
      <c r="H415" s="3">
        <f t="shared" si="90"/>
        <v>13.245033112582782</v>
      </c>
      <c r="I415" s="3">
        <v>1</v>
      </c>
      <c r="J415" s="3">
        <f>H415/2*SUM(S281:S295)</f>
        <v>64.483443708609258</v>
      </c>
      <c r="K415" s="3">
        <v>0</v>
      </c>
      <c r="L415" s="3">
        <f>'Data (ignore)'!$B$1188</f>
        <v>184.66</v>
      </c>
      <c r="M415" s="15">
        <v>-1000</v>
      </c>
      <c r="N415" s="10">
        <f>H415/2*85.83+H415/2*156.75+J415</f>
        <v>1670.9735099337749</v>
      </c>
      <c r="O415" s="3">
        <f ca="1">((DATE(2009,4,10)/2+$AA$17/2)-E415)/365</f>
        <v>2.4657534246575343</v>
      </c>
      <c r="P415" s="12">
        <f t="shared" si="84"/>
        <v>0.67097350993377491</v>
      </c>
      <c r="Q415" s="12">
        <f t="shared" ca="1" si="85"/>
        <v>0.23147768277064729</v>
      </c>
    </row>
    <row r="416" spans="5:17" x14ac:dyDescent="0.25">
      <c r="E416" s="2">
        <v>39884</v>
      </c>
      <c r="F416" s="13">
        <f t="shared" ca="1" si="83"/>
        <v>40784.616438356163</v>
      </c>
      <c r="G416" s="3">
        <v>75.5</v>
      </c>
      <c r="H416" s="3">
        <f t="shared" si="90"/>
        <v>13.245033112582782</v>
      </c>
      <c r="I416" s="3">
        <v>1</v>
      </c>
      <c r="J416" s="3">
        <f>H416/2*SUM(S281:S295)</f>
        <v>64.483443708609258</v>
      </c>
      <c r="K416" s="3">
        <v>0</v>
      </c>
      <c r="L416" s="3">
        <f>'Data (ignore)'!$B$1188</f>
        <v>184.66</v>
      </c>
      <c r="M416" s="15">
        <v>-1000</v>
      </c>
      <c r="N416" s="10">
        <f>H416/2*85.83+H416/2*156.75+J416</f>
        <v>1670.9735099337749</v>
      </c>
      <c r="O416" s="3">
        <f ca="1">((DATE(2009,4,10)/2+$AA$17/2)-E416)/365</f>
        <v>2.4657534246575343</v>
      </c>
      <c r="P416" s="12">
        <f t="shared" si="84"/>
        <v>0.67097350993377491</v>
      </c>
      <c r="Q416" s="12">
        <f t="shared" ca="1" si="85"/>
        <v>0.23147768277064729</v>
      </c>
    </row>
    <row r="417" spans="5:17" x14ac:dyDescent="0.25">
      <c r="E417" s="2">
        <v>39911</v>
      </c>
      <c r="F417" s="13">
        <f t="shared" si="83"/>
        <v>40093.374828767126</v>
      </c>
      <c r="G417" s="3">
        <v>82.53</v>
      </c>
      <c r="H417" s="3">
        <f t="shared" si="90"/>
        <v>12.116806009935781</v>
      </c>
      <c r="I417" s="3">
        <v>1</v>
      </c>
      <c r="J417" s="3">
        <f>H417/2*S280+H417/4*SUM(S280:S281)+H417/4*SUM(S280:S283)</f>
        <v>12.595419847328245</v>
      </c>
      <c r="K417" s="3">
        <v>0</v>
      </c>
      <c r="L417" s="3">
        <v>119.81</v>
      </c>
      <c r="M417" s="15">
        <v>-1000</v>
      </c>
      <c r="N417" s="10">
        <f>H417/2*94.85+H417/4*106.61+H417/4*119.81+J417</f>
        <v>1273.1067490609475</v>
      </c>
      <c r="O417" s="3">
        <f>((DATE(2009,7,2)/2+DATE(2009,10,8)/4+DATE(2010,4,19)/4)-E417)/365</f>
        <v>0.49931506849315066</v>
      </c>
      <c r="P417" s="12">
        <f t="shared" si="84"/>
        <v>0.27310674906094756</v>
      </c>
      <c r="Q417" s="12">
        <f t="shared" si="85"/>
        <v>0.62187483701240365</v>
      </c>
    </row>
    <row r="418" spans="5:17" x14ac:dyDescent="0.25">
      <c r="E418" s="2">
        <v>39923</v>
      </c>
      <c r="F418" s="13">
        <f t="shared" si="83"/>
        <v>39988.044520547948</v>
      </c>
      <c r="G418" s="3">
        <v>83.43</v>
      </c>
      <c r="H418" s="3">
        <f t="shared" si="90"/>
        <v>11.986096128490949</v>
      </c>
      <c r="I418" s="3">
        <v>1</v>
      </c>
      <c r="J418" s="3">
        <f>H418*S280</f>
        <v>6.2087977945583122</v>
      </c>
      <c r="K418" s="3">
        <v>0</v>
      </c>
      <c r="L418" s="3">
        <v>90.12</v>
      </c>
      <c r="M418" s="15">
        <v>-1000</v>
      </c>
      <c r="N418" s="10">
        <f t="shared" ref="N418:N428" si="91">H418*I418*L418+(J418)+(K418)</f>
        <v>1086.3957808941627</v>
      </c>
      <c r="O418" s="3">
        <f>(DATE(2009,6,24)-E418)/365</f>
        <v>0.17808219178082191</v>
      </c>
      <c r="P418" s="12">
        <f t="shared" si="84"/>
        <v>8.6395780894162721E-2</v>
      </c>
      <c r="Q418" s="12">
        <f t="shared" si="85"/>
        <v>0.59252719157459421</v>
      </c>
    </row>
    <row r="419" spans="5:17" x14ac:dyDescent="0.25">
      <c r="E419" s="2">
        <v>39975</v>
      </c>
      <c r="F419" s="13">
        <f t="shared" si="83"/>
        <v>40022.032191780825</v>
      </c>
      <c r="G419" s="3">
        <v>94.82</v>
      </c>
      <c r="H419" s="3">
        <f t="shared" si="90"/>
        <v>10.546298249314491</v>
      </c>
      <c r="I419" s="3">
        <v>1</v>
      </c>
      <c r="J419" s="3">
        <f>H419*S280</f>
        <v>5.4629824931449065</v>
      </c>
      <c r="K419" s="3">
        <v>0</v>
      </c>
      <c r="L419" s="3">
        <v>92.7</v>
      </c>
      <c r="M419" s="15">
        <v>-1000</v>
      </c>
      <c r="N419" s="10">
        <f t="shared" si="91"/>
        <v>983.10483020459822</v>
      </c>
      <c r="O419" s="3">
        <f>(DATE(2009,7,28)-E419)/365</f>
        <v>0.12876712328767123</v>
      </c>
      <c r="P419" s="12">
        <f t="shared" si="84"/>
        <v>-1.6895169795401784E-2</v>
      </c>
      <c r="Q419" s="12">
        <f t="shared" si="85"/>
        <v>-0.1239465710681833</v>
      </c>
    </row>
    <row r="420" spans="5:17" x14ac:dyDescent="0.25">
      <c r="E420" s="2">
        <v>40014</v>
      </c>
      <c r="F420" s="13">
        <f t="shared" ca="1" si="83"/>
        <v>41656.123972602742</v>
      </c>
      <c r="G420" s="3">
        <v>95.13</v>
      </c>
      <c r="H420" s="3">
        <f t="shared" si="90"/>
        <v>10.511931041732367</v>
      </c>
      <c r="I420" s="3">
        <v>1</v>
      </c>
      <c r="J420" s="3">
        <f>H420*SUM(S281:S298)</f>
        <v>130.28487333123095</v>
      </c>
      <c r="K420" s="3">
        <v>0</v>
      </c>
      <c r="L420" s="3">
        <f>'Data (ignore)'!$B$1188</f>
        <v>184.66</v>
      </c>
      <c r="M420" s="15">
        <v>-1000</v>
      </c>
      <c r="N420" s="10">
        <f t="shared" si="91"/>
        <v>2071.4180594975296</v>
      </c>
      <c r="O420" s="3">
        <f ca="1">($AA$17-E420)/365</f>
        <v>4.4958904109589044</v>
      </c>
      <c r="P420" s="12">
        <f t="shared" si="84"/>
        <v>1.0714180594975296</v>
      </c>
      <c r="Q420" s="12">
        <f t="shared" ca="1" si="85"/>
        <v>0.17583387279385776</v>
      </c>
    </row>
    <row r="421" spans="5:17" x14ac:dyDescent="0.25">
      <c r="E421" s="2">
        <v>40016</v>
      </c>
      <c r="F421" s="13">
        <f t="shared" si="83"/>
        <v>40101.058219178085</v>
      </c>
      <c r="G421" s="3">
        <v>95.55</v>
      </c>
      <c r="H421" s="3">
        <f t="shared" si="90"/>
        <v>10.465724751439037</v>
      </c>
      <c r="I421" s="3">
        <v>1</v>
      </c>
      <c r="J421" s="3">
        <f>H421*S281</f>
        <v>5.3165881737310308</v>
      </c>
      <c r="K421" s="3">
        <v>0</v>
      </c>
      <c r="L421" s="3">
        <v>109.71</v>
      </c>
      <c r="M421" s="15">
        <v>-1000</v>
      </c>
      <c r="N421" s="10">
        <f t="shared" si="91"/>
        <v>1153.5112506541079</v>
      </c>
      <c r="O421" s="3">
        <f>(DATE(2009,10,15)-E421)/365</f>
        <v>0.23287671232876711</v>
      </c>
      <c r="P421" s="12">
        <f t="shared" si="84"/>
        <v>0.15351125065410792</v>
      </c>
      <c r="Q421" s="12">
        <f t="shared" si="85"/>
        <v>0.84641387487777586</v>
      </c>
    </row>
    <row r="422" spans="5:17" x14ac:dyDescent="0.25">
      <c r="E422" s="2">
        <v>40030</v>
      </c>
      <c r="F422" s="13">
        <f t="shared" si="83"/>
        <v>40429.273287671233</v>
      </c>
      <c r="G422" s="3">
        <v>100.41</v>
      </c>
      <c r="H422" s="3">
        <f t="shared" si="90"/>
        <v>9.9591674136042236</v>
      </c>
      <c r="I422" s="3">
        <v>1</v>
      </c>
      <c r="J422" s="3">
        <f>H422*SUM(S281:S284)</f>
        <v>21.003884075291307</v>
      </c>
      <c r="K422" s="3">
        <v>0</v>
      </c>
      <c r="L422" s="3">
        <v>110.41</v>
      </c>
      <c r="M422" s="15">
        <v>-1000</v>
      </c>
      <c r="N422" s="10">
        <f t="shared" si="91"/>
        <v>1120.5955582113336</v>
      </c>
      <c r="O422" s="3">
        <f>(DATE(2010,9,8)-E422)/365</f>
        <v>1.0931506849315069</v>
      </c>
      <c r="P422" s="12">
        <f t="shared" si="84"/>
        <v>0.12059555821133358</v>
      </c>
      <c r="Q422" s="12">
        <f t="shared" si="85"/>
        <v>0.10977568750899169</v>
      </c>
    </row>
    <row r="423" spans="5:17" x14ac:dyDescent="0.25">
      <c r="E423" s="2">
        <v>40030</v>
      </c>
      <c r="F423" s="13">
        <f t="shared" si="83"/>
        <v>40379.239041095891</v>
      </c>
      <c r="G423" s="3">
        <v>100.41</v>
      </c>
      <c r="H423" s="3">
        <f t="shared" si="90"/>
        <v>9.9591674136042236</v>
      </c>
      <c r="I423" s="3">
        <v>1</v>
      </c>
      <c r="J423" s="3">
        <f>H423*SUM(S281:S284)</f>
        <v>21.003884075291307</v>
      </c>
      <c r="K423" s="3">
        <v>0</v>
      </c>
      <c r="L423" s="3">
        <v>108.48</v>
      </c>
      <c r="M423" s="15">
        <v>-1000</v>
      </c>
      <c r="N423" s="10">
        <f t="shared" si="91"/>
        <v>1101.3743651030775</v>
      </c>
      <c r="O423" s="3">
        <f>(DATE(2010,7,20)-E423)/365</f>
        <v>0.95616438356164379</v>
      </c>
      <c r="P423" s="12">
        <f t="shared" si="84"/>
        <v>0.10137436510307749</v>
      </c>
      <c r="Q423" s="12">
        <f t="shared" si="85"/>
        <v>0.10626069850571884</v>
      </c>
    </row>
    <row r="424" spans="5:17" x14ac:dyDescent="0.25">
      <c r="E424" s="2">
        <v>40087</v>
      </c>
      <c r="F424" s="13">
        <f t="shared" ca="1" si="83"/>
        <v>41656.073972602739</v>
      </c>
      <c r="G424" s="3">
        <v>102.97</v>
      </c>
      <c r="H424" s="3">
        <f t="shared" si="90"/>
        <v>9.7115664756725266</v>
      </c>
      <c r="I424" s="3">
        <v>1</v>
      </c>
      <c r="J424" s="3">
        <f>H424*SUM(S282:S298)</f>
        <v>115.43167912984364</v>
      </c>
      <c r="K424" s="3">
        <v>0</v>
      </c>
      <c r="L424" s="3">
        <f>'Data (ignore)'!$B$1188</f>
        <v>184.66</v>
      </c>
      <c r="M424" s="15">
        <v>-1000</v>
      </c>
      <c r="N424" s="10">
        <f t="shared" si="91"/>
        <v>1908.7695445275324</v>
      </c>
      <c r="O424" s="3">
        <f ca="1">($AA$17-E424)/365</f>
        <v>4.2958904109589042</v>
      </c>
      <c r="P424" s="12">
        <f>(N424-1000)/1000</f>
        <v>0.90876954452753234</v>
      </c>
      <c r="Q424" s="12">
        <f ca="1">(N424/1000)^(1/O424)-1</f>
        <v>0.16239563626982378</v>
      </c>
    </row>
    <row r="425" spans="5:17" x14ac:dyDescent="0.25">
      <c r="E425" s="2">
        <v>40099</v>
      </c>
      <c r="F425" s="13">
        <f t="shared" ca="1" si="83"/>
        <v>41656.065753424657</v>
      </c>
      <c r="G425" s="3">
        <v>107.46</v>
      </c>
      <c r="H425" s="3">
        <f t="shared" si="90"/>
        <v>9.3057882002605634</v>
      </c>
      <c r="I425" s="3">
        <v>1</v>
      </c>
      <c r="J425" s="3">
        <f>H425*SUM(S282:S298)</f>
        <v>110.60859854829705</v>
      </c>
      <c r="K425" s="3">
        <v>0</v>
      </c>
      <c r="L425" s="3">
        <f>'Data (ignore)'!$B$1188</f>
        <v>184.66</v>
      </c>
      <c r="M425" s="15">
        <v>-1000</v>
      </c>
      <c r="N425" s="10">
        <f t="shared" si="91"/>
        <v>1829.0154476084126</v>
      </c>
      <c r="O425" s="3">
        <f ca="1">($AA$17-E425)/365</f>
        <v>4.2630136986301368</v>
      </c>
      <c r="P425" s="12">
        <f>(N425-1000)/1000</f>
        <v>0.82901544760841261</v>
      </c>
      <c r="Q425" s="12">
        <f ca="1">(N425/1000)^(1/O425)-1</f>
        <v>0.15215221597368611</v>
      </c>
    </row>
    <row r="426" spans="5:17" x14ac:dyDescent="0.25">
      <c r="E426" s="2">
        <v>40105</v>
      </c>
      <c r="F426" s="13">
        <f t="shared" ca="1" si="83"/>
        <v>41656.061643835616</v>
      </c>
      <c r="G426" s="3">
        <v>109.79</v>
      </c>
      <c r="H426" s="3">
        <f t="shared" si="90"/>
        <v>9.1082976591675013</v>
      </c>
      <c r="I426" s="3">
        <v>1</v>
      </c>
      <c r="J426" s="3">
        <f>H426*SUM(S282:S298)</f>
        <v>108.26122597686492</v>
      </c>
      <c r="K426" s="3">
        <v>0</v>
      </c>
      <c r="L426" s="3">
        <f>'Data (ignore)'!$B$1188</f>
        <v>184.66</v>
      </c>
      <c r="M426" s="15">
        <v>-1000</v>
      </c>
      <c r="N426" s="10">
        <f t="shared" si="91"/>
        <v>1790.1994717187358</v>
      </c>
      <c r="O426" s="3">
        <f ca="1">($AA$17-E426)/365</f>
        <v>4.2465753424657535</v>
      </c>
      <c r="P426" s="12">
        <f>(N426-1000)/1000</f>
        <v>0.79019947171873584</v>
      </c>
      <c r="Q426" s="12">
        <f ca="1">(N426/1000)^(1/O426)-1</f>
        <v>0.14697567220493446</v>
      </c>
    </row>
    <row r="427" spans="5:17" x14ac:dyDescent="0.25">
      <c r="E427" s="2">
        <v>40115</v>
      </c>
      <c r="F427" s="13">
        <f t="shared" si="83"/>
        <v>40186.048630136989</v>
      </c>
      <c r="G427" s="3">
        <v>106.65</v>
      </c>
      <c r="H427" s="3">
        <f t="shared" si="90"/>
        <v>9.3764650726676031</v>
      </c>
      <c r="I427" s="3">
        <v>1</v>
      </c>
      <c r="J427" s="3">
        <f>H427*S282</f>
        <v>5.5321143928738854</v>
      </c>
      <c r="K427" s="3">
        <v>0</v>
      </c>
      <c r="L427" s="3">
        <v>114.57</v>
      </c>
      <c r="M427" s="15">
        <v>-1000</v>
      </c>
      <c r="N427" s="10">
        <f t="shared" si="91"/>
        <v>1079.7937177684012</v>
      </c>
      <c r="O427" s="3">
        <f>(DATE(2010,1,8)-E427)/365</f>
        <v>0.19452054794520549</v>
      </c>
      <c r="P427" s="12">
        <f t="shared" ref="P427:P483" si="92">(N427-1000)/1000</f>
        <v>7.9793717768401162E-2</v>
      </c>
      <c r="Q427" s="12">
        <f t="shared" ref="Q427:Q483" si="93">(N427/1000)^(1/O427)-1</f>
        <v>0.48388371590845236</v>
      </c>
    </row>
    <row r="428" spans="5:17" x14ac:dyDescent="0.25">
      <c r="E428" s="2">
        <v>40115</v>
      </c>
      <c r="F428" s="13">
        <f t="shared" ca="1" si="83"/>
        <v>41656.054794520547</v>
      </c>
      <c r="G428" s="3">
        <v>106.65</v>
      </c>
      <c r="H428" s="3">
        <f t="shared" si="90"/>
        <v>9.3764650726676031</v>
      </c>
      <c r="I428" s="3">
        <v>1</v>
      </c>
      <c r="J428" s="3">
        <f>H428*SUM(S282:S298)</f>
        <v>111.44866385372713</v>
      </c>
      <c r="K428" s="3">
        <v>0</v>
      </c>
      <c r="L428" s="3">
        <f>'Data (ignore)'!$B$1188</f>
        <v>184.66</v>
      </c>
      <c r="M428" s="15">
        <v>-1000</v>
      </c>
      <c r="N428" s="10">
        <f t="shared" si="91"/>
        <v>1842.9067041725266</v>
      </c>
      <c r="O428" s="3">
        <f ca="1">($AA$17-E428)/365</f>
        <v>4.2191780821917808</v>
      </c>
      <c r="P428" s="12">
        <f t="shared" si="92"/>
        <v>0.84290670417252656</v>
      </c>
      <c r="Q428" s="12">
        <f t="shared" ca="1" si="93"/>
        <v>0.15591990409096335</v>
      </c>
    </row>
    <row r="429" spans="5:17" x14ac:dyDescent="0.25">
      <c r="E429" s="2">
        <v>40115</v>
      </c>
      <c r="F429" s="13">
        <f t="shared" si="83"/>
        <v>40548.79691780822</v>
      </c>
      <c r="G429" s="3">
        <v>106.65</v>
      </c>
      <c r="H429" s="3">
        <f t="shared" si="90"/>
        <v>9.3764650726676031</v>
      </c>
      <c r="I429" s="3">
        <v>1</v>
      </c>
      <c r="J429" s="3">
        <f>H429/2*SUM(S282:S285)+H429/2*SUM(S282:S286)</f>
        <v>23.7177684013127</v>
      </c>
      <c r="K429" s="3">
        <v>0</v>
      </c>
      <c r="L429" s="3">
        <v>1.94</v>
      </c>
      <c r="M429" s="15">
        <v>-1000</v>
      </c>
      <c r="N429" s="10">
        <f>H429/2*118.45+H429/2*134.53+J429</f>
        <v>1209.746835443038</v>
      </c>
      <c r="O429" s="3">
        <f>((DATE(2010,11,23)/2+DATE(2011,2,18)/2)-E429)/365</f>
        <v>1.1876712328767123</v>
      </c>
      <c r="P429" s="12">
        <f t="shared" si="92"/>
        <v>0.20974683544303799</v>
      </c>
      <c r="Q429" s="12">
        <f t="shared" si="93"/>
        <v>0.17389007085695929</v>
      </c>
    </row>
    <row r="430" spans="5:17" x14ac:dyDescent="0.25">
      <c r="E430" s="2">
        <v>40116</v>
      </c>
      <c r="F430" s="13">
        <f t="shared" si="83"/>
        <v>41629.035616438356</v>
      </c>
      <c r="G430" s="3">
        <v>103.56</v>
      </c>
      <c r="H430" s="3">
        <f t="shared" si="90"/>
        <v>9.6562379297025878</v>
      </c>
      <c r="I430" s="3">
        <v>1</v>
      </c>
      <c r="J430" s="3">
        <f>H430*SUM(S282:S298)</f>
        <v>114.77404403244495</v>
      </c>
      <c r="K430" s="3">
        <v>0</v>
      </c>
      <c r="L430" s="3">
        <v>181.56</v>
      </c>
      <c r="M430" s="15">
        <v>-1000</v>
      </c>
      <c r="N430" s="10">
        <f t="shared" ref="N430:N436" si="94">H430*I430*L430+(J430)+(K430)</f>
        <v>1867.9606025492467</v>
      </c>
      <c r="O430" s="3">
        <f>(DATE(2013,12,20)-E430)/365</f>
        <v>4.1424657534246574</v>
      </c>
      <c r="P430" s="12">
        <f t="shared" si="92"/>
        <v>0.86796060254924667</v>
      </c>
      <c r="Q430" s="12">
        <f t="shared" si="93"/>
        <v>0.16280995198629467</v>
      </c>
    </row>
    <row r="431" spans="5:17" x14ac:dyDescent="0.25">
      <c r="E431" s="2">
        <v>40119</v>
      </c>
      <c r="F431" s="13">
        <f t="shared" ca="1" si="83"/>
        <v>41656.05205479452</v>
      </c>
      <c r="G431" s="3">
        <v>104.65</v>
      </c>
      <c r="H431" s="3">
        <f t="shared" si="90"/>
        <v>9.5556617295747728</v>
      </c>
      <c r="I431" s="3">
        <v>1</v>
      </c>
      <c r="J431" s="3">
        <f>H431*SUM(S282:S298)</f>
        <v>113.57859531772574</v>
      </c>
      <c r="K431" s="3">
        <v>0</v>
      </c>
      <c r="L431" s="3">
        <f>'Data (ignore)'!$B$1188</f>
        <v>184.66</v>
      </c>
      <c r="M431" s="15">
        <v>-1000</v>
      </c>
      <c r="N431" s="10">
        <f t="shared" si="94"/>
        <v>1878.1270903010034</v>
      </c>
      <c r="O431" s="3">
        <f t="shared" ref="O431:O436" ca="1" si="95">($AA$17-E431)/365</f>
        <v>4.2082191780821914</v>
      </c>
      <c r="P431" s="12">
        <f t="shared" si="92"/>
        <v>0.87812709030100333</v>
      </c>
      <c r="Q431" s="12">
        <f t="shared" ca="1" si="93"/>
        <v>0.16156982987330237</v>
      </c>
    </row>
    <row r="432" spans="5:17" x14ac:dyDescent="0.25">
      <c r="E432" s="2">
        <v>40137</v>
      </c>
      <c r="F432" s="13">
        <f t="shared" ca="1" si="83"/>
        <v>41656.039726027397</v>
      </c>
      <c r="G432" s="3">
        <v>109.43</v>
      </c>
      <c r="H432" s="3">
        <f t="shared" si="90"/>
        <v>9.1382619025861267</v>
      </c>
      <c r="I432" s="3">
        <v>1</v>
      </c>
      <c r="J432" s="3">
        <f>H432*SUM(S282:S298)</f>
        <v>108.6173809741387</v>
      </c>
      <c r="K432" s="3">
        <v>0</v>
      </c>
      <c r="L432" s="3">
        <f>'Data (ignore)'!$B$1188</f>
        <v>184.66</v>
      </c>
      <c r="M432" s="15">
        <v>-1000</v>
      </c>
      <c r="N432" s="10">
        <f t="shared" si="94"/>
        <v>1796.0888239056928</v>
      </c>
      <c r="O432" s="3">
        <f t="shared" ca="1" si="95"/>
        <v>4.1589041095890407</v>
      </c>
      <c r="P432" s="12">
        <f t="shared" si="92"/>
        <v>0.7960888239056928</v>
      </c>
      <c r="Q432" s="12">
        <f t="shared" ca="1" si="93"/>
        <v>0.15120482892526099</v>
      </c>
    </row>
    <row r="433" spans="5:17" x14ac:dyDescent="0.25">
      <c r="E433" s="2">
        <v>40150</v>
      </c>
      <c r="F433" s="13">
        <f t="shared" ca="1" si="83"/>
        <v>41656.030821917811</v>
      </c>
      <c r="G433" s="3">
        <v>110.38</v>
      </c>
      <c r="H433" s="3">
        <f t="shared" si="90"/>
        <v>9.0596122485957604</v>
      </c>
      <c r="I433" s="3">
        <v>1</v>
      </c>
      <c r="J433" s="3">
        <f>H433*SUM(S282:S298)</f>
        <v>107.68255118680921</v>
      </c>
      <c r="K433" s="3">
        <v>0</v>
      </c>
      <c r="L433" s="3">
        <f>'Data (ignore)'!$B$1188</f>
        <v>184.66</v>
      </c>
      <c r="M433" s="15">
        <v>-1000</v>
      </c>
      <c r="N433" s="10">
        <f t="shared" si="94"/>
        <v>1780.6305490125023</v>
      </c>
      <c r="O433" s="3">
        <f t="shared" ca="1" si="95"/>
        <v>4.1232876712328768</v>
      </c>
      <c r="P433" s="12">
        <f t="shared" si="92"/>
        <v>0.78063054901250239</v>
      </c>
      <c r="Q433" s="12">
        <f t="shared" ca="1" si="93"/>
        <v>0.15019213846637869</v>
      </c>
    </row>
    <row r="434" spans="5:17" x14ac:dyDescent="0.25">
      <c r="E434" s="2">
        <v>40199</v>
      </c>
      <c r="F434" s="13">
        <f t="shared" ca="1" si="83"/>
        <v>41655.997260273973</v>
      </c>
      <c r="G434" s="3">
        <v>111.7</v>
      </c>
      <c r="H434" s="3">
        <f t="shared" si="90"/>
        <v>8.952551477170994</v>
      </c>
      <c r="I434" s="3">
        <v>1</v>
      </c>
      <c r="J434" s="3">
        <f>H434*SUM(S283:S298)</f>
        <v>101.12802148612354</v>
      </c>
      <c r="K434" s="3">
        <v>0</v>
      </c>
      <c r="L434" s="3">
        <f>'Data (ignore)'!$B$1188</f>
        <v>184.66</v>
      </c>
      <c r="M434" s="15">
        <v>-1000</v>
      </c>
      <c r="N434" s="10">
        <f t="shared" si="94"/>
        <v>1754.3061772605192</v>
      </c>
      <c r="O434" s="3">
        <f t="shared" ca="1" si="95"/>
        <v>3.989041095890411</v>
      </c>
      <c r="P434" s="12">
        <f t="shared" si="92"/>
        <v>0.75430617726051918</v>
      </c>
      <c r="Q434" s="12">
        <f t="shared" ca="1" si="93"/>
        <v>0.15131457588559716</v>
      </c>
    </row>
    <row r="435" spans="5:17" x14ac:dyDescent="0.25">
      <c r="E435" s="2">
        <v>40231</v>
      </c>
      <c r="F435" s="13">
        <f t="shared" ca="1" si="83"/>
        <v>41655.975342465754</v>
      </c>
      <c r="G435" s="3">
        <v>111.16</v>
      </c>
      <c r="H435" s="3">
        <f t="shared" si="90"/>
        <v>8.9960417416336806</v>
      </c>
      <c r="I435" s="3">
        <v>1</v>
      </c>
      <c r="J435" s="3">
        <f>H435*SUM(S283:S298)</f>
        <v>101.61928751349406</v>
      </c>
      <c r="K435" s="3">
        <v>0</v>
      </c>
      <c r="L435" s="3">
        <f>'Data (ignore)'!$B$1188</f>
        <v>184.66</v>
      </c>
      <c r="M435" s="15">
        <v>-1000</v>
      </c>
      <c r="N435" s="10">
        <f t="shared" si="94"/>
        <v>1762.8283555235696</v>
      </c>
      <c r="O435" s="3">
        <f t="shared" ca="1" si="95"/>
        <v>3.9013698630136986</v>
      </c>
      <c r="P435" s="12">
        <f t="shared" si="92"/>
        <v>0.76282835552356965</v>
      </c>
      <c r="Q435" s="12">
        <f t="shared" ca="1" si="93"/>
        <v>0.15640140221218957</v>
      </c>
    </row>
    <row r="436" spans="5:17" x14ac:dyDescent="0.25">
      <c r="E436" s="2">
        <v>40233</v>
      </c>
      <c r="F436" s="13">
        <f t="shared" ref="F436:F499" ca="1" si="96">E436+(365.25*O436)</f>
        <v>41655.97397260274</v>
      </c>
      <c r="G436" s="3">
        <v>110.82</v>
      </c>
      <c r="H436" s="3">
        <f t="shared" si="90"/>
        <v>9.023641941887746</v>
      </c>
      <c r="I436" s="3">
        <v>1</v>
      </c>
      <c r="J436" s="3">
        <f>H436*SUM(S283:S298)</f>
        <v>101.93105937556398</v>
      </c>
      <c r="K436" s="3">
        <v>0</v>
      </c>
      <c r="L436" s="3">
        <f>'Data (ignore)'!$B$1188</f>
        <v>184.66</v>
      </c>
      <c r="M436" s="15">
        <v>-1000</v>
      </c>
      <c r="N436" s="10">
        <f t="shared" si="94"/>
        <v>1768.2367803645552</v>
      </c>
      <c r="O436" s="3">
        <f t="shared" ca="1" si="95"/>
        <v>3.8958904109589043</v>
      </c>
      <c r="P436" s="12">
        <f t="shared" si="92"/>
        <v>0.76823678036455523</v>
      </c>
      <c r="Q436" s="12">
        <f t="shared" ca="1" si="93"/>
        <v>0.15754759243472649</v>
      </c>
    </row>
    <row r="437" spans="5:17" x14ac:dyDescent="0.25">
      <c r="E437" s="2">
        <v>40235</v>
      </c>
      <c r="F437" s="13">
        <f t="shared" ca="1" si="96"/>
        <v>41027.542465753424</v>
      </c>
      <c r="G437" s="3">
        <v>110.74</v>
      </c>
      <c r="H437" s="3">
        <f t="shared" si="90"/>
        <v>9.0301607368611165</v>
      </c>
      <c r="I437" s="3">
        <v>1</v>
      </c>
      <c r="J437" s="3">
        <f>H437/2*SUM(S283:S295)+H437/2*SUM(S283:S284)</f>
        <v>43.570525555354884</v>
      </c>
      <c r="K437" s="3">
        <v>0</v>
      </c>
      <c r="L437" s="3">
        <f>'Data (ignore)'!$B$1188</f>
        <v>184.66</v>
      </c>
      <c r="M437" s="15">
        <v>-1000</v>
      </c>
      <c r="N437" s="10">
        <f>H437/2*112.99+H437/2*L437+J437</f>
        <v>1387.4841972187105</v>
      </c>
      <c r="O437" s="3">
        <f ca="1">($AA$17/2+DATE(2010,8,9)/2-E437)/365</f>
        <v>2.1698630136986301</v>
      </c>
      <c r="P437" s="12">
        <f t="shared" si="92"/>
        <v>0.38748419721871052</v>
      </c>
      <c r="Q437" s="12">
        <f t="shared" ca="1" si="93"/>
        <v>0.16291243883895556</v>
      </c>
    </row>
    <row r="438" spans="5:17" x14ac:dyDescent="0.25">
      <c r="E438" s="2">
        <v>40247</v>
      </c>
      <c r="F438" s="13">
        <f t="shared" ca="1" si="96"/>
        <v>41655.964383561644</v>
      </c>
      <c r="G438" s="3">
        <v>114.97</v>
      </c>
      <c r="H438" s="3">
        <f t="shared" si="90"/>
        <v>8.6979211968339563</v>
      </c>
      <c r="I438" s="3">
        <v>1</v>
      </c>
      <c r="J438" s="3">
        <f>H438*SUM(S283:S298)</f>
        <v>98.251717839436367</v>
      </c>
      <c r="K438" s="3">
        <v>0</v>
      </c>
      <c r="L438" s="3">
        <f>'Data (ignore)'!$B$1188</f>
        <v>184.66</v>
      </c>
      <c r="M438" s="15">
        <v>-1000</v>
      </c>
      <c r="N438" s="10">
        <f>H438*I438*L438+(J438)+(K438)</f>
        <v>1704.4098460467947</v>
      </c>
      <c r="O438" s="3">
        <f ca="1">($AA$17-E438)/365</f>
        <v>3.8575342465753426</v>
      </c>
      <c r="P438" s="12">
        <f t="shared" si="92"/>
        <v>0.70440984604679469</v>
      </c>
      <c r="Q438" s="12">
        <f t="shared" ca="1" si="93"/>
        <v>0.14823722198832456</v>
      </c>
    </row>
    <row r="439" spans="5:17" x14ac:dyDescent="0.25">
      <c r="E439" s="2">
        <v>40324</v>
      </c>
      <c r="F439" s="13">
        <f t="shared" si="96"/>
        <v>41527.823972602739</v>
      </c>
      <c r="G439" s="3">
        <v>107.17</v>
      </c>
      <c r="H439" s="3">
        <f t="shared" si="90"/>
        <v>9.3309694877297744</v>
      </c>
      <c r="I439" s="3">
        <v>1</v>
      </c>
      <c r="J439" s="3">
        <f>H439*SUM(S284:S297)</f>
        <v>91.779415881310044</v>
      </c>
      <c r="K439" s="3">
        <v>0</v>
      </c>
      <c r="L439" s="3">
        <v>168.87</v>
      </c>
      <c r="M439" s="15">
        <v>-1000</v>
      </c>
      <c r="N439" s="10">
        <f>H439*I439*L439+(J439)+(K439)</f>
        <v>1667.5002332742372</v>
      </c>
      <c r="O439" s="3">
        <f>(DATE(2013,9,10)-E439)/365</f>
        <v>3.2958904109589042</v>
      </c>
      <c r="P439" s="12">
        <f t="shared" si="92"/>
        <v>0.66750023327423724</v>
      </c>
      <c r="Q439" s="12">
        <f t="shared" si="93"/>
        <v>0.16782186997780624</v>
      </c>
    </row>
    <row r="440" spans="5:17" x14ac:dyDescent="0.25">
      <c r="E440" s="2">
        <v>40339</v>
      </c>
      <c r="F440" s="13">
        <f t="shared" ca="1" si="96"/>
        <v>41151.055821917806</v>
      </c>
      <c r="G440" s="3">
        <v>109.15</v>
      </c>
      <c r="H440" s="3">
        <f t="shared" si="90"/>
        <v>9.1617040769583138</v>
      </c>
      <c r="I440" s="3">
        <v>1</v>
      </c>
      <c r="J440" s="3">
        <f>H440/2*SUM(S284:S298)+H440/2*SUM(S284:S287)</f>
        <v>60.261108566193307</v>
      </c>
      <c r="K440" s="3">
        <v>0</v>
      </c>
      <c r="L440" s="3">
        <f>'Data (ignore)'!$B$1188</f>
        <v>184.66</v>
      </c>
      <c r="M440" s="15">
        <v>-1000</v>
      </c>
      <c r="N440" s="10">
        <f>H440/2*131.46+H440/2*L440+J440</f>
        <v>1508.3600549702244</v>
      </c>
      <c r="O440" s="3">
        <f ca="1">($AA$17/2+DATE(2011,4,13)/2-E440)/365</f>
        <v>2.2232876712328768</v>
      </c>
      <c r="P440" s="12">
        <f t="shared" si="92"/>
        <v>0.50836005497022441</v>
      </c>
      <c r="Q440" s="12">
        <f t="shared" ca="1" si="93"/>
        <v>0.20306409493936961</v>
      </c>
    </row>
    <row r="441" spans="5:17" x14ac:dyDescent="0.25">
      <c r="E441" s="2">
        <v>40401</v>
      </c>
      <c r="F441" s="13">
        <f t="shared" ca="1" si="96"/>
        <v>41655.858904109591</v>
      </c>
      <c r="G441" s="3">
        <v>109.3</v>
      </c>
      <c r="H441" s="3">
        <f t="shared" si="90"/>
        <v>9.149130832570906</v>
      </c>
      <c r="I441" s="3">
        <v>1</v>
      </c>
      <c r="J441" s="3">
        <f>H441*SUM(S285:S298)</f>
        <v>94.09881061299177</v>
      </c>
      <c r="K441" s="3">
        <v>0</v>
      </c>
      <c r="L441" s="3">
        <f>'Data (ignore)'!$B$1188</f>
        <v>184.66</v>
      </c>
      <c r="M441" s="15">
        <v>-1000</v>
      </c>
      <c r="N441" s="10">
        <f>H441*I441*L441+(J441)+(K441)</f>
        <v>1783.5773101555351</v>
      </c>
      <c r="O441" s="3">
        <f ca="1">($AA$17-E441)/365</f>
        <v>3.4356164383561643</v>
      </c>
      <c r="P441" s="12">
        <f t="shared" si="92"/>
        <v>0.78357731015553511</v>
      </c>
      <c r="Q441" s="12">
        <f t="shared" ca="1" si="93"/>
        <v>0.18343167167539698</v>
      </c>
    </row>
    <row r="442" spans="5:17" x14ac:dyDescent="0.25">
      <c r="E442" s="2">
        <v>40430</v>
      </c>
      <c r="F442" s="13">
        <f t="shared" si="96"/>
        <v>40583.10479452055</v>
      </c>
      <c r="G442" s="3">
        <v>110.92</v>
      </c>
      <c r="H442" s="3">
        <f t="shared" si="90"/>
        <v>9.0155066714749363</v>
      </c>
      <c r="I442" s="3">
        <v>1</v>
      </c>
      <c r="J442" s="3">
        <f>H442*SUM(S285:S286)</f>
        <v>11.314460872701044</v>
      </c>
      <c r="K442" s="3">
        <v>0</v>
      </c>
      <c r="L442" s="3">
        <v>132.27000000000001</v>
      </c>
      <c r="M442" s="15">
        <v>-1000</v>
      </c>
      <c r="N442" s="10">
        <f>H442*I442*L442+(J442)+(K442)</f>
        <v>1203.795528308691</v>
      </c>
      <c r="O442" s="3">
        <f>(DATE(2011,2,9)-E442)/365</f>
        <v>0.41917808219178082</v>
      </c>
      <c r="P442" s="12">
        <f t="shared" si="92"/>
        <v>0.20379552830869102</v>
      </c>
      <c r="Q442" s="12">
        <f t="shared" si="93"/>
        <v>0.55656860686333487</v>
      </c>
    </row>
    <row r="443" spans="5:17" x14ac:dyDescent="0.25">
      <c r="E443" s="2">
        <v>40431</v>
      </c>
      <c r="F443" s="13">
        <f t="shared" si="96"/>
        <v>40549.080821917807</v>
      </c>
      <c r="G443" s="3">
        <v>111.48</v>
      </c>
      <c r="H443" s="3">
        <f t="shared" si="90"/>
        <v>8.9702188733405084</v>
      </c>
      <c r="I443" s="3">
        <v>1</v>
      </c>
      <c r="J443" s="3">
        <f>H443/2*S285+H443/2*S285+H443/4*SUM(S285:S286)</f>
        <v>8.2144779332615698</v>
      </c>
      <c r="K443" s="3">
        <v>0</v>
      </c>
      <c r="L443" s="3">
        <v>127.39</v>
      </c>
      <c r="M443" s="15">
        <v>-1000</v>
      </c>
      <c r="N443" s="10">
        <f>H443/2*118.49+H443/4*122.83+H443/4*127.39+J443</f>
        <v>1100.7871367061355</v>
      </c>
      <c r="O443" s="3">
        <f>(DATE(2011,1,6)-E443)/365</f>
        <v>0.32328767123287672</v>
      </c>
      <c r="P443" s="12">
        <f t="shared" si="92"/>
        <v>0.10078713670613547</v>
      </c>
      <c r="Q443" s="12">
        <f t="shared" si="93"/>
        <v>0.34585303406194345</v>
      </c>
    </row>
    <row r="444" spans="5:17" x14ac:dyDescent="0.25">
      <c r="E444" s="2">
        <v>40431</v>
      </c>
      <c r="F444" s="13">
        <f t="shared" si="96"/>
        <v>40456.017123287675</v>
      </c>
      <c r="G444" s="3">
        <v>111.48</v>
      </c>
      <c r="H444" s="3">
        <f t="shared" si="90"/>
        <v>8.9702188733405084</v>
      </c>
      <c r="I444" s="3">
        <v>1</v>
      </c>
      <c r="J444" s="3">
        <f>H444*S285</f>
        <v>5.4000717617509855</v>
      </c>
      <c r="K444" s="3">
        <v>0</v>
      </c>
      <c r="L444" s="3">
        <v>116.65</v>
      </c>
      <c r="M444" s="15">
        <v>-1000</v>
      </c>
      <c r="N444" s="10">
        <f>H444*I444*L444+(J444)+(K444)</f>
        <v>1051.7761033369213</v>
      </c>
      <c r="O444" s="3">
        <f>(DATE(2010,10,5)-E444)/365</f>
        <v>6.8493150684931503E-2</v>
      </c>
      <c r="P444" s="12">
        <f t="shared" si="92"/>
        <v>5.1776103336921321E-2</v>
      </c>
      <c r="Q444" s="12">
        <f t="shared" si="93"/>
        <v>1.0896818451589292</v>
      </c>
    </row>
    <row r="445" spans="5:17" x14ac:dyDescent="0.25">
      <c r="E445" s="2">
        <v>40434</v>
      </c>
      <c r="F445" s="13">
        <f t="shared" ca="1" si="96"/>
        <v>41655.836301369862</v>
      </c>
      <c r="G445" s="3">
        <v>112.72</v>
      </c>
      <c r="H445" s="3">
        <f t="shared" si="90"/>
        <v>8.8715400993612494</v>
      </c>
      <c r="I445" s="3">
        <v>1</v>
      </c>
      <c r="J445" s="3">
        <f>H445*SUM(S285:S298)</f>
        <v>91.243789921930457</v>
      </c>
      <c r="K445" s="3">
        <v>0</v>
      </c>
      <c r="L445" s="3">
        <f>'Data (ignore)'!$B$1188</f>
        <v>184.66</v>
      </c>
      <c r="M445" s="15">
        <v>-1000</v>
      </c>
      <c r="N445" s="10">
        <f>H445*I445*L445+(J445)+(K445)</f>
        <v>1729.4623846699787</v>
      </c>
      <c r="O445" s="3">
        <f ca="1">($AA$17-E445)/365</f>
        <v>3.3452054794520549</v>
      </c>
      <c r="P445" s="12">
        <f t="shared" si="92"/>
        <v>0.7294623846699787</v>
      </c>
      <c r="Q445" s="12">
        <f t="shared" ca="1" si="93"/>
        <v>0.17793148976417816</v>
      </c>
    </row>
    <row r="446" spans="5:17" x14ac:dyDescent="0.25">
      <c r="E446" s="2">
        <v>40485</v>
      </c>
      <c r="F446" s="13">
        <f t="shared" si="96"/>
        <v>40890.277397260274</v>
      </c>
      <c r="G446" s="3">
        <v>119.95</v>
      </c>
      <c r="H446" s="3">
        <f t="shared" si="90"/>
        <v>8.3368070029178831</v>
      </c>
      <c r="I446" s="3">
        <v>1</v>
      </c>
      <c r="J446" s="3">
        <f>H446*SUM(S286:S289)</f>
        <v>20.500208420175074</v>
      </c>
      <c r="K446" s="3">
        <v>0</v>
      </c>
      <c r="L446" s="3">
        <v>123.05</v>
      </c>
      <c r="M446" s="15">
        <v>-1000</v>
      </c>
      <c r="N446" s="10">
        <f t="shared" ref="N446:N454" si="97">H446*I446*L446+(J446)+(K446)</f>
        <v>1046.3443101292205</v>
      </c>
      <c r="O446" s="3">
        <f>(DATE(2011,12,13)-E446)/365</f>
        <v>1.1095890410958904</v>
      </c>
      <c r="P446" s="12">
        <f t="shared" si="92"/>
        <v>4.6344310129220502E-2</v>
      </c>
      <c r="Q446" s="12">
        <f t="shared" si="93"/>
        <v>4.1673089960722498E-2</v>
      </c>
    </row>
    <row r="447" spans="5:17" x14ac:dyDescent="0.25">
      <c r="E447" s="2">
        <v>40485</v>
      </c>
      <c r="F447" s="13">
        <f t="shared" si="96"/>
        <v>40974.334931506848</v>
      </c>
      <c r="G447" s="3">
        <v>119.95</v>
      </c>
      <c r="H447" s="3">
        <f t="shared" si="90"/>
        <v>8.3368070029178831</v>
      </c>
      <c r="I447" s="3">
        <v>1</v>
      </c>
      <c r="J447" s="3">
        <f>H447*SUM(S286:S289)</f>
        <v>20.500208420175074</v>
      </c>
      <c r="K447" s="3">
        <v>0</v>
      </c>
      <c r="L447" s="3">
        <v>134.75</v>
      </c>
      <c r="M447" s="15">
        <v>-1000</v>
      </c>
      <c r="N447" s="10">
        <f t="shared" si="97"/>
        <v>1143.8849520633598</v>
      </c>
      <c r="O447" s="3">
        <f>(DATE(2012,3,6)-E447)/365</f>
        <v>1.3397260273972602</v>
      </c>
      <c r="P447" s="12">
        <f t="shared" si="92"/>
        <v>0.14388495206335983</v>
      </c>
      <c r="Q447" s="12">
        <f t="shared" si="93"/>
        <v>0.10554856537069557</v>
      </c>
    </row>
    <row r="448" spans="5:17" x14ac:dyDescent="0.25">
      <c r="E448" s="2">
        <v>40485</v>
      </c>
      <c r="F448" s="13">
        <f t="shared" si="96"/>
        <v>41497.693150684929</v>
      </c>
      <c r="G448" s="3">
        <v>119.95</v>
      </c>
      <c r="H448" s="3">
        <f t="shared" si="90"/>
        <v>8.3368070029178831</v>
      </c>
      <c r="I448" s="3">
        <v>1</v>
      </c>
      <c r="J448" s="3">
        <f>H448/2*SUM(S286:S296)+H448/2*SUM(S286:S297)</f>
        <v>69.062109212171748</v>
      </c>
      <c r="K448" s="3">
        <v>0</v>
      </c>
      <c r="L448" s="3">
        <v>169.61</v>
      </c>
      <c r="M448" s="15">
        <v>-1000</v>
      </c>
      <c r="N448" s="10">
        <f>(H448/2*169.11+H448/2*L448)*I448+(J448)+(K448)</f>
        <v>1480.9837432263446</v>
      </c>
      <c r="O448" s="3">
        <f>(DATE(2013,8,11)-E448)/365</f>
        <v>2.7726027397260276</v>
      </c>
      <c r="P448" s="12">
        <f t="shared" si="92"/>
        <v>0.48098374322634457</v>
      </c>
      <c r="Q448" s="12">
        <f t="shared" si="93"/>
        <v>0.15215976202649184</v>
      </c>
    </row>
    <row r="449" spans="5:17" x14ac:dyDescent="0.25">
      <c r="E449" s="2">
        <v>40485</v>
      </c>
      <c r="F449" s="13">
        <f t="shared" si="96"/>
        <v>40865.260273972606</v>
      </c>
      <c r="G449" s="3">
        <v>119.95</v>
      </c>
      <c r="H449" s="3">
        <f t="shared" si="90"/>
        <v>8.3368070029178831</v>
      </c>
      <c r="I449" s="3">
        <v>1</v>
      </c>
      <c r="J449" s="3">
        <f>H449*SUM(S286:S289)</f>
        <v>20.500208420175074</v>
      </c>
      <c r="K449" s="3">
        <v>0</v>
      </c>
      <c r="L449" s="3">
        <v>121.98</v>
      </c>
      <c r="M449" s="15">
        <v>-1000</v>
      </c>
      <c r="N449" s="10">
        <f t="shared" si="97"/>
        <v>1037.4239266360985</v>
      </c>
      <c r="O449" s="3">
        <f>(DATE(2011,11,18)-E449)/365</f>
        <v>1.0410958904109588</v>
      </c>
      <c r="P449" s="12">
        <f t="shared" si="92"/>
        <v>3.7423926636098483E-2</v>
      </c>
      <c r="Q449" s="12">
        <f t="shared" si="93"/>
        <v>3.5920452951750947E-2</v>
      </c>
    </row>
    <row r="450" spans="5:17" x14ac:dyDescent="0.25">
      <c r="E450" s="2">
        <v>40485</v>
      </c>
      <c r="F450" s="13">
        <f t="shared" si="96"/>
        <v>41354.595205479454</v>
      </c>
      <c r="G450" s="3">
        <v>119.95</v>
      </c>
      <c r="H450" s="3">
        <f t="shared" si="90"/>
        <v>8.3368070029178831</v>
      </c>
      <c r="I450" s="3">
        <v>1</v>
      </c>
      <c r="J450" s="3">
        <f>H450*SUM(S286:S297)</f>
        <v>72.555231346394336</v>
      </c>
      <c r="K450" s="3">
        <v>0</v>
      </c>
      <c r="L450" s="3">
        <v>154.36000000000001</v>
      </c>
      <c r="M450" s="15">
        <v>-1000</v>
      </c>
      <c r="N450" s="10">
        <f t="shared" si="97"/>
        <v>1359.4247603167989</v>
      </c>
      <c r="O450" s="3">
        <f>(DATE(2013,3,21)-E450)/365</f>
        <v>2.3808219178082193</v>
      </c>
      <c r="P450" s="12">
        <f t="shared" si="92"/>
        <v>0.35942476031679893</v>
      </c>
      <c r="Q450" s="12">
        <f t="shared" si="93"/>
        <v>0.13765935663495799</v>
      </c>
    </row>
    <row r="451" spans="5:17" x14ac:dyDescent="0.25">
      <c r="E451" s="2">
        <v>40485</v>
      </c>
      <c r="F451" s="13">
        <f t="shared" si="96"/>
        <v>40939.310958904112</v>
      </c>
      <c r="G451" s="3">
        <v>119.95</v>
      </c>
      <c r="H451" s="3">
        <f t="shared" si="90"/>
        <v>8.3368070029178831</v>
      </c>
      <c r="I451" s="3">
        <v>1</v>
      </c>
      <c r="J451" s="3">
        <f>H451*SUM(S286:S290)</f>
        <v>26.919549812421845</v>
      </c>
      <c r="K451" s="3">
        <v>0</v>
      </c>
      <c r="L451" s="3">
        <v>131.32</v>
      </c>
      <c r="M451" s="15">
        <v>-1000</v>
      </c>
      <c r="N451" s="10">
        <f t="shared" si="97"/>
        <v>1121.7090454355982</v>
      </c>
      <c r="O451" s="3">
        <f>(DATE(2012,1,31)-E451)/365</f>
        <v>1.2438356164383562</v>
      </c>
      <c r="P451" s="12">
        <f t="shared" si="92"/>
        <v>0.12170904543559823</v>
      </c>
      <c r="Q451" s="12">
        <f t="shared" si="93"/>
        <v>9.6735599330806776E-2</v>
      </c>
    </row>
    <row r="452" spans="5:17" x14ac:dyDescent="0.25">
      <c r="E452" s="2">
        <v>40485</v>
      </c>
      <c r="F452" s="13">
        <f t="shared" si="96"/>
        <v>40939.310958904112</v>
      </c>
      <c r="G452" s="3">
        <v>119.95</v>
      </c>
      <c r="H452" s="3">
        <f t="shared" si="90"/>
        <v>8.3368070029178831</v>
      </c>
      <c r="I452" s="3">
        <v>1</v>
      </c>
      <c r="J452" s="3">
        <f>H452*SUM(S286:S290)</f>
        <v>26.919549812421845</v>
      </c>
      <c r="K452" s="3">
        <v>0</v>
      </c>
      <c r="L452" s="3">
        <v>131.32</v>
      </c>
      <c r="M452" s="15">
        <v>-1000</v>
      </c>
      <c r="N452" s="10">
        <f t="shared" si="97"/>
        <v>1121.7090454355982</v>
      </c>
      <c r="O452" s="3">
        <f>(DATE(2012,1,31)-E452)/365</f>
        <v>1.2438356164383562</v>
      </c>
      <c r="P452" s="12">
        <f t="shared" si="92"/>
        <v>0.12170904543559823</v>
      </c>
      <c r="Q452" s="12">
        <f t="shared" si="93"/>
        <v>9.6735599330806776E-2</v>
      </c>
    </row>
    <row r="453" spans="5:17" x14ac:dyDescent="0.25">
      <c r="E453" s="2">
        <v>40492</v>
      </c>
      <c r="F453" s="13">
        <f t="shared" si="96"/>
        <v>40994.343835616441</v>
      </c>
      <c r="G453" s="3">
        <v>122.1</v>
      </c>
      <c r="H453" s="3">
        <f t="shared" si="90"/>
        <v>8.1900081900081911</v>
      </c>
      <c r="I453" s="3">
        <v>1</v>
      </c>
      <c r="J453" s="3">
        <f>H453*SUM(S286:S291)</f>
        <v>31.474201474201479</v>
      </c>
      <c r="K453" s="3">
        <v>0</v>
      </c>
      <c r="L453" s="3">
        <v>141.61000000000001</v>
      </c>
      <c r="M453" s="15">
        <v>-1000</v>
      </c>
      <c r="N453" s="10">
        <f t="shared" si="97"/>
        <v>1191.2612612612616</v>
      </c>
      <c r="O453" s="3">
        <f>(DATE(2012,3,26)-E453)/365</f>
        <v>1.3753424657534246</v>
      </c>
      <c r="P453" s="12">
        <f t="shared" si="92"/>
        <v>0.19126126126126156</v>
      </c>
      <c r="Q453" s="12">
        <f t="shared" si="93"/>
        <v>0.13570115565230867</v>
      </c>
    </row>
    <row r="454" spans="5:17" x14ac:dyDescent="0.25">
      <c r="E454" s="2">
        <v>40527</v>
      </c>
      <c r="F454" s="13">
        <f t="shared" si="96"/>
        <v>41256.49931506849</v>
      </c>
      <c r="G454" s="3">
        <v>124.1</v>
      </c>
      <c r="H454" s="3">
        <f t="shared" si="90"/>
        <v>8.058017727639001</v>
      </c>
      <c r="I454" s="3">
        <v>1</v>
      </c>
      <c r="J454" s="3">
        <f>H454*SUM(S286:S293)</f>
        <v>42.788074133763089</v>
      </c>
      <c r="K454" s="3">
        <v>0</v>
      </c>
      <c r="L454" s="3">
        <v>142.63</v>
      </c>
      <c r="M454" s="15">
        <v>-1000</v>
      </c>
      <c r="N454" s="10">
        <f t="shared" si="97"/>
        <v>1192.1031426269137</v>
      </c>
      <c r="O454" s="3">
        <f>(DATE(2012,12,13)-E454)/365</f>
        <v>1.9972602739726026</v>
      </c>
      <c r="P454" s="12">
        <f t="shared" si="92"/>
        <v>0.19210314262691372</v>
      </c>
      <c r="Q454" s="12">
        <f t="shared" si="93"/>
        <v>9.196635631761807E-2</v>
      </c>
    </row>
    <row r="455" spans="5:17" x14ac:dyDescent="0.25">
      <c r="E455" s="2">
        <v>40556</v>
      </c>
      <c r="F455" s="13">
        <f t="shared" ca="1" si="96"/>
        <v>41655.752739726027</v>
      </c>
      <c r="G455" s="3">
        <v>128.37</v>
      </c>
      <c r="H455" s="3">
        <f t="shared" si="90"/>
        <v>7.7899820830412088</v>
      </c>
      <c r="I455" s="3">
        <v>1</v>
      </c>
      <c r="J455" s="3">
        <f>H455*SUM(S287:S298)</f>
        <v>70.343538209862103</v>
      </c>
      <c r="K455" s="3">
        <v>0</v>
      </c>
      <c r="L455" s="3">
        <f>'Data (ignore)'!$B$1188</f>
        <v>184.66</v>
      </c>
      <c r="M455" s="15">
        <v>-1000</v>
      </c>
      <c r="N455" s="10">
        <f t="shared" ref="N455:N461" si="98">H455*I455*L455+(J455)+(K455)</f>
        <v>1508.8416296642517</v>
      </c>
      <c r="O455" s="3">
        <f ca="1">($AA$17-E455)/365</f>
        <v>3.010958904109589</v>
      </c>
      <c r="P455" s="12">
        <f t="shared" si="92"/>
        <v>0.50884162966425173</v>
      </c>
      <c r="Q455" s="12">
        <f t="shared" ca="1" si="93"/>
        <v>0.14638673248805079</v>
      </c>
    </row>
    <row r="456" spans="5:17" x14ac:dyDescent="0.25">
      <c r="E456" s="2">
        <v>40556</v>
      </c>
      <c r="F456" s="13">
        <f t="shared" ca="1" si="96"/>
        <v>41655.752739726027</v>
      </c>
      <c r="G456" s="3">
        <v>128.37</v>
      </c>
      <c r="H456" s="3">
        <f t="shared" si="90"/>
        <v>7.7899820830412088</v>
      </c>
      <c r="I456" s="3">
        <v>1</v>
      </c>
      <c r="J456" s="3">
        <f>H456*SUM(S287:S298)</f>
        <v>70.343538209862103</v>
      </c>
      <c r="K456" s="3">
        <v>0</v>
      </c>
      <c r="L456" s="3">
        <f>'Data (ignore)'!$B$1188</f>
        <v>184.66</v>
      </c>
      <c r="M456" s="15">
        <v>-1000</v>
      </c>
      <c r="N456" s="10">
        <f t="shared" si="98"/>
        <v>1508.8416296642517</v>
      </c>
      <c r="O456" s="3">
        <f ca="1">($AA$17-E456)/365</f>
        <v>3.010958904109589</v>
      </c>
      <c r="P456" s="12">
        <f t="shared" si="92"/>
        <v>0.50884162966425173</v>
      </c>
      <c r="Q456" s="12">
        <f t="shared" ca="1" si="93"/>
        <v>0.14638673248805079</v>
      </c>
    </row>
    <row r="457" spans="5:17" x14ac:dyDescent="0.25">
      <c r="E457" s="2">
        <v>40556</v>
      </c>
      <c r="F457" s="13">
        <f t="shared" ca="1" si="96"/>
        <v>41655.752739726027</v>
      </c>
      <c r="G457" s="3">
        <v>128.37</v>
      </c>
      <c r="H457" s="3">
        <f t="shared" si="90"/>
        <v>7.7899820830412088</v>
      </c>
      <c r="I457" s="3">
        <v>1</v>
      </c>
      <c r="J457" s="3">
        <f>H457*SUM(S287:S298)</f>
        <v>70.343538209862103</v>
      </c>
      <c r="K457" s="3">
        <v>0</v>
      </c>
      <c r="L457" s="3">
        <f>'Data (ignore)'!$B$1188</f>
        <v>184.66</v>
      </c>
      <c r="M457" s="15">
        <v>-1000</v>
      </c>
      <c r="N457" s="10">
        <f t="shared" si="98"/>
        <v>1508.8416296642517</v>
      </c>
      <c r="O457" s="3">
        <f ca="1">($AA$17-E457)/365</f>
        <v>3.010958904109589</v>
      </c>
      <c r="P457" s="12">
        <f t="shared" si="92"/>
        <v>0.50884162966425173</v>
      </c>
      <c r="Q457" s="12">
        <f t="shared" ca="1" si="93"/>
        <v>0.14638673248805079</v>
      </c>
    </row>
    <row r="458" spans="5:17" x14ac:dyDescent="0.25">
      <c r="E458" s="2">
        <v>40556</v>
      </c>
      <c r="F458" s="13">
        <f t="shared" ca="1" si="96"/>
        <v>41655.752739726027</v>
      </c>
      <c r="G458" s="3">
        <v>128.37</v>
      </c>
      <c r="H458" s="3">
        <f t="shared" si="90"/>
        <v>7.7899820830412088</v>
      </c>
      <c r="I458" s="3">
        <v>1</v>
      </c>
      <c r="J458" s="3">
        <f>H458*SUM(S287:S298)</f>
        <v>70.343538209862103</v>
      </c>
      <c r="K458" s="3">
        <v>0</v>
      </c>
      <c r="L458" s="3">
        <f>'Data (ignore)'!$B$1188</f>
        <v>184.66</v>
      </c>
      <c r="M458" s="15">
        <v>-1000</v>
      </c>
      <c r="N458" s="10">
        <f t="shared" si="98"/>
        <v>1508.8416296642517</v>
      </c>
      <c r="O458" s="3">
        <f ca="1">($AA$17-E458)/365</f>
        <v>3.010958904109589</v>
      </c>
      <c r="P458" s="12">
        <f t="shared" si="92"/>
        <v>0.50884162966425173</v>
      </c>
      <c r="Q458" s="12">
        <f t="shared" ca="1" si="93"/>
        <v>0.14638673248805079</v>
      </c>
    </row>
    <row r="459" spans="5:17" x14ac:dyDescent="0.25">
      <c r="E459" s="2">
        <v>40585</v>
      </c>
      <c r="F459" s="13">
        <f t="shared" ca="1" si="96"/>
        <v>41655.732876712325</v>
      </c>
      <c r="G459" s="3">
        <v>133.11000000000001</v>
      </c>
      <c r="H459" s="3">
        <f t="shared" si="90"/>
        <v>7.5125835774922987</v>
      </c>
      <c r="I459" s="3">
        <v>1</v>
      </c>
      <c r="J459" s="3">
        <f>H459*SUM(S287:S298)</f>
        <v>67.838629704755448</v>
      </c>
      <c r="K459" s="3">
        <v>0</v>
      </c>
      <c r="L459" s="3">
        <f>'Data (ignore)'!$B$1188</f>
        <v>184.66</v>
      </c>
      <c r="M459" s="15">
        <v>-1000</v>
      </c>
      <c r="N459" s="10">
        <f t="shared" si="98"/>
        <v>1455.1123131244833</v>
      </c>
      <c r="O459" s="3">
        <f ca="1">($AA$17-E459)/365</f>
        <v>2.9315068493150687</v>
      </c>
      <c r="P459" s="12">
        <f t="shared" si="92"/>
        <v>0.4551123131244833</v>
      </c>
      <c r="Q459" s="12">
        <f t="shared" ca="1" si="93"/>
        <v>0.1364949310068162</v>
      </c>
    </row>
    <row r="460" spans="5:17" x14ac:dyDescent="0.25">
      <c r="E460" s="2">
        <v>40592</v>
      </c>
      <c r="F460" s="13">
        <f t="shared" ca="1" si="96"/>
        <v>41123.864041095891</v>
      </c>
      <c r="G460" s="3">
        <v>134.53</v>
      </c>
      <c r="H460" s="3">
        <f t="shared" si="90"/>
        <v>7.4332862558537132</v>
      </c>
      <c r="I460" s="3">
        <v>1</v>
      </c>
      <c r="J460" s="3">
        <f>H460/2*SUM(S287:S288)+H460/2*SUM(S287:S298)</f>
        <v>37.950642979261126</v>
      </c>
      <c r="K460" s="3">
        <v>0</v>
      </c>
      <c r="L460" s="3">
        <f>'Data (ignore)'!$B$1188</f>
        <v>184.66</v>
      </c>
      <c r="M460" s="15">
        <v>-1000</v>
      </c>
      <c r="N460" s="10">
        <f>H460/2*116.28+H460/2*L460+J460</f>
        <v>1156.4372258975693</v>
      </c>
      <c r="O460" s="3">
        <f ca="1">($AA$17-E460)/365/2</f>
        <v>1.4561643835616438</v>
      </c>
      <c r="P460" s="12">
        <f t="shared" si="92"/>
        <v>0.15643722589756931</v>
      </c>
      <c r="Q460" s="12">
        <f t="shared" ca="1" si="93"/>
        <v>0.10496410821610302</v>
      </c>
    </row>
    <row r="461" spans="5:17" x14ac:dyDescent="0.25">
      <c r="E461" s="2">
        <v>40626</v>
      </c>
      <c r="F461" s="13">
        <f t="shared" si="96"/>
        <v>40662.525000000001</v>
      </c>
      <c r="G461" s="3">
        <v>130.9</v>
      </c>
      <c r="H461" s="3">
        <f t="shared" si="90"/>
        <v>7.6394194041252863</v>
      </c>
      <c r="I461" s="3">
        <v>1</v>
      </c>
      <c r="J461" s="3">
        <f>H461*SUM(S387:S450)</f>
        <v>0</v>
      </c>
      <c r="K461" s="3">
        <v>0</v>
      </c>
      <c r="L461" s="3">
        <v>133.63999999999999</v>
      </c>
      <c r="M461" s="15">
        <v>-1000</v>
      </c>
      <c r="N461" s="10">
        <f t="shared" si="98"/>
        <v>1020.9320091673031</v>
      </c>
      <c r="O461" s="3">
        <v>0.1</v>
      </c>
      <c r="P461" s="12">
        <f t="shared" si="92"/>
        <v>2.0932009167303135E-2</v>
      </c>
      <c r="Q461" s="12">
        <f t="shared" si="93"/>
        <v>0.23017870288184161</v>
      </c>
    </row>
    <row r="462" spans="5:17" x14ac:dyDescent="0.25">
      <c r="E462" s="2">
        <v>40644</v>
      </c>
      <c r="F462" s="13">
        <f t="shared" ca="1" si="96"/>
        <v>41655.692465753425</v>
      </c>
      <c r="G462" s="3">
        <v>132.46</v>
      </c>
      <c r="H462" s="3">
        <f t="shared" si="90"/>
        <v>7.5494488902310124</v>
      </c>
      <c r="I462" s="3">
        <v>1</v>
      </c>
      <c r="J462" s="3">
        <f>H462*SUM(S288:S298)</f>
        <v>63.996678242488294</v>
      </c>
      <c r="K462" s="3">
        <v>0</v>
      </c>
      <c r="L462" s="3">
        <f>'Data (ignore)'!$B$1188</f>
        <v>184.66</v>
      </c>
      <c r="M462" s="15">
        <v>-1000</v>
      </c>
      <c r="N462" s="10">
        <f t="shared" ref="N462:N485" si="99">H462*I462*L462+(J462)+(K462)</f>
        <v>1458.0779103125471</v>
      </c>
      <c r="O462" s="3">
        <f ca="1">($AA$17-E462)/365</f>
        <v>2.7698630136986302</v>
      </c>
      <c r="P462" s="12">
        <f t="shared" si="92"/>
        <v>0.45807791031254713</v>
      </c>
      <c r="Q462" s="12">
        <f t="shared" ca="1" si="93"/>
        <v>0.14585467685079179</v>
      </c>
    </row>
    <row r="463" spans="5:17" x14ac:dyDescent="0.25">
      <c r="E463" s="2">
        <v>40658</v>
      </c>
      <c r="F463" s="13">
        <f t="shared" si="96"/>
        <v>41348.472602739726</v>
      </c>
      <c r="G463" s="3">
        <v>133.63999999999999</v>
      </c>
      <c r="H463" s="3">
        <f t="shared" si="90"/>
        <v>7.4827895839569001</v>
      </c>
      <c r="I463" s="3">
        <v>1</v>
      </c>
      <c r="J463" s="3">
        <f>H463*SUM(S288:S297)</f>
        <v>56.098473510924883</v>
      </c>
      <c r="K463" s="3">
        <v>0</v>
      </c>
      <c r="L463" s="3">
        <v>155.83000000000001</v>
      </c>
      <c r="M463" s="15">
        <v>-1000</v>
      </c>
      <c r="N463" s="10">
        <f t="shared" si="99"/>
        <v>1222.1415743789287</v>
      </c>
      <c r="O463" s="3">
        <f>(DATE(2013,3,15)-E463)/365</f>
        <v>1.8904109589041096</v>
      </c>
      <c r="P463" s="12">
        <f t="shared" si="92"/>
        <v>0.22214157437892867</v>
      </c>
      <c r="Q463" s="12">
        <f t="shared" si="93"/>
        <v>0.11195194901830674</v>
      </c>
    </row>
    <row r="464" spans="5:17" x14ac:dyDescent="0.25">
      <c r="E464" s="2">
        <v>40680</v>
      </c>
      <c r="F464" s="13">
        <f t="shared" si="96"/>
        <v>41023.23493150685</v>
      </c>
      <c r="G464" s="3">
        <v>133.16999999999999</v>
      </c>
      <c r="H464" s="3">
        <f t="shared" si="90"/>
        <v>7.5091987684914026</v>
      </c>
      <c r="I464" s="3">
        <v>1</v>
      </c>
      <c r="J464" s="3">
        <f>H464*SUM(S288:S291)</f>
        <v>19.801757152511829</v>
      </c>
      <c r="K464" s="3">
        <v>0</v>
      </c>
      <c r="L464" s="3">
        <v>137.31</v>
      </c>
      <c r="M464" s="15">
        <v>-1000</v>
      </c>
      <c r="N464" s="10">
        <f t="shared" si="99"/>
        <v>1050.8898400540663</v>
      </c>
      <c r="O464" s="3">
        <f>(DATE(2012,4,24)-E464)/365</f>
        <v>0.9397260273972603</v>
      </c>
      <c r="P464" s="12">
        <f t="shared" si="92"/>
        <v>5.0889840054066326E-2</v>
      </c>
      <c r="Q464" s="12">
        <f t="shared" si="93"/>
        <v>5.4240923027814469E-2</v>
      </c>
    </row>
    <row r="465" spans="5:17" x14ac:dyDescent="0.25">
      <c r="E465" s="2">
        <v>40689</v>
      </c>
      <c r="F465" s="13">
        <f t="shared" si="96"/>
        <v>41248.382876712327</v>
      </c>
      <c r="G465" s="3">
        <v>133</v>
      </c>
      <c r="H465" s="3">
        <f t="shared" si="90"/>
        <v>7.518796992481203</v>
      </c>
      <c r="I465" s="3">
        <v>1</v>
      </c>
      <c r="J465" s="3">
        <f>H465*SUM(S288:S293)</f>
        <v>30.857142857142858</v>
      </c>
      <c r="K465" s="3">
        <v>0</v>
      </c>
      <c r="L465" s="3">
        <v>141.5</v>
      </c>
      <c r="M465" s="15">
        <v>-1000</v>
      </c>
      <c r="N465" s="10">
        <f t="shared" si="99"/>
        <v>1094.7669172932331</v>
      </c>
      <c r="O465" s="3">
        <f>((DATE(2012,12,5))-E465)/365</f>
        <v>1.5315068493150685</v>
      </c>
      <c r="P465" s="12">
        <f t="shared" si="92"/>
        <v>9.4766917293233069E-2</v>
      </c>
      <c r="Q465" s="12">
        <f t="shared" si="93"/>
        <v>6.0901706515288145E-2</v>
      </c>
    </row>
    <row r="466" spans="5:17" x14ac:dyDescent="0.25">
      <c r="E466" s="2">
        <v>40702</v>
      </c>
      <c r="F466" s="13">
        <f t="shared" ca="1" si="96"/>
        <v>41655.652739726029</v>
      </c>
      <c r="G466" s="3">
        <v>128.41999999999999</v>
      </c>
      <c r="H466" s="3">
        <f t="shared" si="90"/>
        <v>7.7869490733530613</v>
      </c>
      <c r="I466" s="3">
        <v>1</v>
      </c>
      <c r="J466" s="3">
        <f>H466*SUM(S288:S298)</f>
        <v>66.009967294813904</v>
      </c>
      <c r="K466" s="3">
        <v>0</v>
      </c>
      <c r="L466" s="3">
        <f>'Data (ignore)'!$B$1188</f>
        <v>184.66</v>
      </c>
      <c r="M466" s="15">
        <v>-1000</v>
      </c>
      <c r="N466" s="10">
        <f t="shared" si="99"/>
        <v>1503.94798318019</v>
      </c>
      <c r="O466" s="3">
        <f ca="1">($AA$17-E466)/365</f>
        <v>2.6109589041095891</v>
      </c>
      <c r="P466" s="12">
        <f t="shared" si="92"/>
        <v>0.50394798318019007</v>
      </c>
      <c r="Q466" s="12">
        <f t="shared" ca="1" si="93"/>
        <v>0.16917724502716425</v>
      </c>
    </row>
    <row r="467" spans="5:17" x14ac:dyDescent="0.25">
      <c r="E467" s="2">
        <v>40722</v>
      </c>
      <c r="F467" s="13">
        <f t="shared" si="96"/>
        <v>41348.428767123289</v>
      </c>
      <c r="G467" s="3">
        <v>129.61000000000001</v>
      </c>
      <c r="H467" s="3">
        <f t="shared" si="90"/>
        <v>7.7154540544711052</v>
      </c>
      <c r="I467" s="3">
        <v>1</v>
      </c>
      <c r="J467" s="3">
        <f>H467*SUM(S289:S295)</f>
        <v>40.058637450813983</v>
      </c>
      <c r="K467" s="3">
        <v>0</v>
      </c>
      <c r="L467" s="3">
        <v>155.83000000000001</v>
      </c>
      <c r="M467" s="15">
        <v>-1000</v>
      </c>
      <c r="N467" s="10">
        <f t="shared" si="99"/>
        <v>1242.3578427590462</v>
      </c>
      <c r="O467" s="3">
        <f>(DATE(2013,3,15)-E467)/365</f>
        <v>1.715068493150685</v>
      </c>
      <c r="P467" s="12">
        <f t="shared" si="92"/>
        <v>0.2423578427590462</v>
      </c>
      <c r="Q467" s="12">
        <f t="shared" si="93"/>
        <v>0.13488577593977613</v>
      </c>
    </row>
    <row r="468" spans="5:17" x14ac:dyDescent="0.25">
      <c r="E468" s="2">
        <v>40729</v>
      </c>
      <c r="F468" s="13">
        <f t="shared" ca="1" si="96"/>
        <v>41655.634246575341</v>
      </c>
      <c r="G468" s="3">
        <v>133.81</v>
      </c>
      <c r="H468" s="3">
        <f t="shared" si="90"/>
        <v>7.4732830132277108</v>
      </c>
      <c r="I468" s="3">
        <v>1</v>
      </c>
      <c r="J468" s="3">
        <f>H468*SUM(S289:S298)</f>
        <v>58.657798370824302</v>
      </c>
      <c r="K468" s="3">
        <v>0</v>
      </c>
      <c r="L468" s="3">
        <f>'Data (ignore)'!$B$1188</f>
        <v>184.66</v>
      </c>
      <c r="M468" s="15">
        <v>-1000</v>
      </c>
      <c r="N468" s="10">
        <f t="shared" si="99"/>
        <v>1438.6742395934534</v>
      </c>
      <c r="O468" s="3">
        <f t="shared" ref="O468:O474" ca="1" si="100">($AA$17-E468)/365</f>
        <v>2.536986301369863</v>
      </c>
      <c r="P468" s="12">
        <f t="shared" si="92"/>
        <v>0.43867423959345342</v>
      </c>
      <c r="Q468" s="12">
        <f t="shared" ca="1" si="93"/>
        <v>0.15415416598929754</v>
      </c>
    </row>
    <row r="469" spans="5:17" x14ac:dyDescent="0.25">
      <c r="E469" s="2">
        <v>40729</v>
      </c>
      <c r="F469" s="13">
        <f t="shared" ca="1" si="96"/>
        <v>41655.634246575341</v>
      </c>
      <c r="G469" s="3">
        <v>133.81</v>
      </c>
      <c r="H469" s="3">
        <f t="shared" si="90"/>
        <v>7.4732830132277108</v>
      </c>
      <c r="I469" s="3">
        <v>1</v>
      </c>
      <c r="J469" s="3">
        <f>H469*SUM(S289:S298)</f>
        <v>58.657798370824302</v>
      </c>
      <c r="K469" s="3">
        <v>0</v>
      </c>
      <c r="L469" s="3">
        <f>'Data (ignore)'!$B$1188</f>
        <v>184.66</v>
      </c>
      <c r="M469" s="15">
        <v>-1000</v>
      </c>
      <c r="N469" s="10">
        <f t="shared" si="99"/>
        <v>1438.6742395934534</v>
      </c>
      <c r="O469" s="3">
        <f t="shared" ca="1" si="100"/>
        <v>2.536986301369863</v>
      </c>
      <c r="P469" s="12">
        <f t="shared" si="92"/>
        <v>0.43867423959345342</v>
      </c>
      <c r="Q469" s="12">
        <f t="shared" ca="1" si="93"/>
        <v>0.15415416598929754</v>
      </c>
    </row>
    <row r="470" spans="5:17" x14ac:dyDescent="0.25">
      <c r="E470" s="2">
        <v>40745</v>
      </c>
      <c r="F470" s="13">
        <f t="shared" ca="1" si="96"/>
        <v>41655.623287671231</v>
      </c>
      <c r="G470" s="3">
        <v>134.49</v>
      </c>
      <c r="H470" s="3">
        <f t="shared" si="90"/>
        <v>7.4354970629786594</v>
      </c>
      <c r="I470" s="3">
        <v>1</v>
      </c>
      <c r="J470" s="3">
        <f>H470*SUM(S289:S298)</f>
        <v>58.361216447319499</v>
      </c>
      <c r="K470" s="3">
        <v>0</v>
      </c>
      <c r="L470" s="3">
        <f>'Data (ignore)'!$B$1188</f>
        <v>184.66</v>
      </c>
      <c r="M470" s="15">
        <v>-1000</v>
      </c>
      <c r="N470" s="10">
        <f t="shared" si="99"/>
        <v>1431.4001040969588</v>
      </c>
      <c r="O470" s="3">
        <f t="shared" ca="1" si="100"/>
        <v>2.493150684931507</v>
      </c>
      <c r="P470" s="12">
        <f t="shared" si="92"/>
        <v>0.43140010409695878</v>
      </c>
      <c r="Q470" s="12">
        <f t="shared" ca="1" si="93"/>
        <v>0.15471706414819919</v>
      </c>
    </row>
    <row r="471" spans="5:17" x14ac:dyDescent="0.25">
      <c r="E471" s="2">
        <v>40759</v>
      </c>
      <c r="F471" s="13">
        <f t="shared" ca="1" si="96"/>
        <v>41655.613698630135</v>
      </c>
      <c r="G471" s="3">
        <v>120.26</v>
      </c>
      <c r="H471" s="3">
        <f t="shared" si="90"/>
        <v>8.3153168135705968</v>
      </c>
      <c r="I471" s="3">
        <v>1</v>
      </c>
      <c r="J471" s="3">
        <f>H471*SUM(S289:S298)</f>
        <v>65.266921669715614</v>
      </c>
      <c r="K471" s="3">
        <v>0</v>
      </c>
      <c r="L471" s="3">
        <f>'Data (ignore)'!$B$1188</f>
        <v>184.66</v>
      </c>
      <c r="M471" s="15">
        <v>-1000</v>
      </c>
      <c r="N471" s="10">
        <f t="shared" si="99"/>
        <v>1600.773324463662</v>
      </c>
      <c r="O471" s="3">
        <f t="shared" ca="1" si="100"/>
        <v>2.4547945205479453</v>
      </c>
      <c r="P471" s="12">
        <f t="shared" si="92"/>
        <v>0.60077332446366194</v>
      </c>
      <c r="Q471" s="12">
        <f t="shared" ca="1" si="93"/>
        <v>0.21125907418228862</v>
      </c>
    </row>
    <row r="472" spans="5:17" x14ac:dyDescent="0.25">
      <c r="E472" s="2">
        <v>40764</v>
      </c>
      <c r="F472" s="13">
        <f t="shared" ca="1" si="96"/>
        <v>41655.610273972605</v>
      </c>
      <c r="G472" s="3">
        <v>117.48</v>
      </c>
      <c r="H472" s="3">
        <f t="shared" si="90"/>
        <v>8.5120871637725575</v>
      </c>
      <c r="I472" s="3">
        <v>1</v>
      </c>
      <c r="J472" s="3">
        <f>H472*SUM(S289:S298)</f>
        <v>66.811372148450801</v>
      </c>
      <c r="K472" s="3">
        <v>0</v>
      </c>
      <c r="L472" s="3">
        <f>'Data (ignore)'!$B$1188</f>
        <v>184.66</v>
      </c>
      <c r="M472" s="15">
        <v>-1000</v>
      </c>
      <c r="N472" s="10">
        <f t="shared" si="99"/>
        <v>1638.6533878106911</v>
      </c>
      <c r="O472" s="3">
        <f t="shared" ca="1" si="100"/>
        <v>2.441095890410959</v>
      </c>
      <c r="P472" s="12">
        <f t="shared" si="92"/>
        <v>0.63865338781069114</v>
      </c>
      <c r="Q472" s="12">
        <f t="shared" ca="1" si="93"/>
        <v>0.22423582997270364</v>
      </c>
    </row>
    <row r="473" spans="5:17" x14ac:dyDescent="0.25">
      <c r="E473" s="2">
        <v>40764</v>
      </c>
      <c r="F473" s="13">
        <f t="shared" ca="1" si="96"/>
        <v>41655.610273972605</v>
      </c>
      <c r="G473" s="3">
        <v>117.48</v>
      </c>
      <c r="H473" s="3">
        <f t="shared" si="90"/>
        <v>8.5120871637725575</v>
      </c>
      <c r="I473" s="3">
        <v>1</v>
      </c>
      <c r="J473" s="3">
        <f>H473*SUM(S289:S298)</f>
        <v>66.811372148450801</v>
      </c>
      <c r="K473" s="3">
        <v>0</v>
      </c>
      <c r="L473" s="3">
        <f>'Data (ignore)'!$B$1188</f>
        <v>184.66</v>
      </c>
      <c r="M473" s="15">
        <v>-1000</v>
      </c>
      <c r="N473" s="10">
        <f t="shared" si="99"/>
        <v>1638.6533878106911</v>
      </c>
      <c r="O473" s="3">
        <f t="shared" ca="1" si="100"/>
        <v>2.441095890410959</v>
      </c>
      <c r="P473" s="12">
        <f t="shared" si="92"/>
        <v>0.63865338781069114</v>
      </c>
      <c r="Q473" s="12">
        <f t="shared" ca="1" si="93"/>
        <v>0.22423582997270364</v>
      </c>
    </row>
    <row r="474" spans="5:17" x14ac:dyDescent="0.25">
      <c r="E474" s="2">
        <v>40764</v>
      </c>
      <c r="F474" s="13">
        <f t="shared" ca="1" si="96"/>
        <v>41655.610273972605</v>
      </c>
      <c r="G474" s="3">
        <v>117.48</v>
      </c>
      <c r="H474" s="3">
        <f t="shared" si="90"/>
        <v>8.5120871637725575</v>
      </c>
      <c r="I474" s="3">
        <v>1</v>
      </c>
      <c r="J474" s="3">
        <f>H474*SUM(S289:S298)</f>
        <v>66.811372148450801</v>
      </c>
      <c r="K474" s="3">
        <v>0</v>
      </c>
      <c r="L474" s="3">
        <f>'Data (ignore)'!$B$1188</f>
        <v>184.66</v>
      </c>
      <c r="M474" s="15">
        <v>-1000</v>
      </c>
      <c r="N474" s="10">
        <f t="shared" si="99"/>
        <v>1638.6533878106911</v>
      </c>
      <c r="O474" s="3">
        <f t="shared" ca="1" si="100"/>
        <v>2.441095890410959</v>
      </c>
      <c r="P474" s="12">
        <f t="shared" si="92"/>
        <v>0.63865338781069114</v>
      </c>
      <c r="Q474" s="12">
        <f t="shared" ca="1" si="93"/>
        <v>0.22423582997270364</v>
      </c>
    </row>
    <row r="475" spans="5:17" x14ac:dyDescent="0.25">
      <c r="E475" s="2">
        <v>40767</v>
      </c>
      <c r="F475" s="13">
        <f t="shared" si="96"/>
        <v>40955.128767123286</v>
      </c>
      <c r="G475" s="3">
        <v>118.12</v>
      </c>
      <c r="H475" s="3">
        <f t="shared" si="90"/>
        <v>8.4659668134100912</v>
      </c>
      <c r="I475" s="3">
        <v>1</v>
      </c>
      <c r="J475" s="3">
        <f>H475*SUM(S289:S290)</f>
        <v>11.810023704707078</v>
      </c>
      <c r="K475" s="3">
        <v>0</v>
      </c>
      <c r="L475" s="3">
        <v>136.05000000000001</v>
      </c>
      <c r="M475" s="15">
        <v>-1000</v>
      </c>
      <c r="N475" s="10">
        <f t="shared" si="99"/>
        <v>1163.6048086691499</v>
      </c>
      <c r="O475" s="3">
        <f>(DATE(2012,2,16)-E475)/365</f>
        <v>0.51506849315068493</v>
      </c>
      <c r="P475" s="12">
        <f t="shared" si="92"/>
        <v>0.16360480866914986</v>
      </c>
      <c r="Q475" s="12">
        <f t="shared" si="93"/>
        <v>0.34202526645151199</v>
      </c>
    </row>
    <row r="476" spans="5:17" x14ac:dyDescent="0.25">
      <c r="E476" s="2">
        <v>40799</v>
      </c>
      <c r="F476" s="13">
        <f t="shared" si="96"/>
        <v>40808.006164383565</v>
      </c>
      <c r="G476" s="3">
        <v>117.74</v>
      </c>
      <c r="H476" s="3">
        <f t="shared" si="90"/>
        <v>8.4932903006624763</v>
      </c>
      <c r="I476" s="3">
        <v>1</v>
      </c>
      <c r="J476" s="3">
        <f>H476*S289</f>
        <v>5.3083064379140481</v>
      </c>
      <c r="K476" s="3">
        <v>0</v>
      </c>
      <c r="L476" s="3">
        <v>112.86</v>
      </c>
      <c r="M476" s="15">
        <v>-1000</v>
      </c>
      <c r="N476" s="10">
        <f t="shared" si="99"/>
        <v>963.86104977068112</v>
      </c>
      <c r="O476" s="3">
        <f>(DATE(2011,9,22)-E476)/365</f>
        <v>2.4657534246575342E-2</v>
      </c>
      <c r="P476" s="12">
        <f t="shared" si="92"/>
        <v>-3.6138950229318879E-2</v>
      </c>
      <c r="Q476" s="12">
        <f t="shared" si="93"/>
        <v>-0.77525173457148844</v>
      </c>
    </row>
    <row r="477" spans="5:17" x14ac:dyDescent="0.25">
      <c r="E477" s="2">
        <v>40809</v>
      </c>
      <c r="F477" s="13">
        <f t="shared" ca="1" si="96"/>
        <v>41655.579452054793</v>
      </c>
      <c r="G477" s="3">
        <v>113.54</v>
      </c>
      <c r="H477" s="3">
        <f t="shared" si="90"/>
        <v>8.8074687334859956</v>
      </c>
      <c r="I477" s="3">
        <v>1</v>
      </c>
      <c r="J477" s="3">
        <f>H477*SUM(S290:S298)</f>
        <v>63.625154130702832</v>
      </c>
      <c r="K477" s="3">
        <v>0</v>
      </c>
      <c r="L477" s="3">
        <f>'Data (ignore)'!$B$1188</f>
        <v>184.66</v>
      </c>
      <c r="M477" s="15">
        <v>-1000</v>
      </c>
      <c r="N477" s="10">
        <f t="shared" si="99"/>
        <v>1690.0123304562269</v>
      </c>
      <c r="O477" s="3">
        <f t="shared" ref="O477:O483" ca="1" si="101">($AA$17-E477)/365</f>
        <v>2.3178082191780822</v>
      </c>
      <c r="P477" s="12">
        <f t="shared" si="92"/>
        <v>0.6900123304562269</v>
      </c>
      <c r="Q477" s="12">
        <f t="shared" ca="1" si="93"/>
        <v>0.2540685628093633</v>
      </c>
    </row>
    <row r="478" spans="5:17" x14ac:dyDescent="0.25">
      <c r="E478" s="2">
        <v>40821</v>
      </c>
      <c r="F478" s="13">
        <f t="shared" ca="1" si="96"/>
        <v>41655.571232876711</v>
      </c>
      <c r="G478" s="3">
        <v>114.42</v>
      </c>
      <c r="H478" s="3">
        <f t="shared" si="90"/>
        <v>8.7397308162908587</v>
      </c>
      <c r="I478" s="3">
        <v>1</v>
      </c>
      <c r="J478" s="3">
        <f>H478*SUM(S290:S298)</f>
        <v>63.135815416885166</v>
      </c>
      <c r="K478" s="3">
        <v>0</v>
      </c>
      <c r="L478" s="3">
        <f>'Data (ignore)'!$B$1188</f>
        <v>184.66</v>
      </c>
      <c r="M478" s="15">
        <v>-1000</v>
      </c>
      <c r="N478" s="10">
        <f t="shared" si="99"/>
        <v>1677.0145079531551</v>
      </c>
      <c r="O478" s="3">
        <f t="shared" ca="1" si="101"/>
        <v>2.2849315068493152</v>
      </c>
      <c r="P478" s="12">
        <f t="shared" si="92"/>
        <v>0.6770145079531551</v>
      </c>
      <c r="Q478" s="12">
        <f t="shared" ca="1" si="93"/>
        <v>0.25391619693355238</v>
      </c>
    </row>
    <row r="479" spans="5:17" x14ac:dyDescent="0.25">
      <c r="E479" s="2">
        <v>40848</v>
      </c>
      <c r="F479" s="13">
        <f t="shared" ca="1" si="96"/>
        <v>41591.508904109593</v>
      </c>
      <c r="G479" s="3">
        <v>122</v>
      </c>
      <c r="H479" s="3">
        <f t="shared" si="90"/>
        <v>8.1967213114754092</v>
      </c>
      <c r="I479" s="3">
        <v>1</v>
      </c>
      <c r="J479" s="3">
        <f>H479/2*SUM(S290:S298)+H479/2*SUM(S290:S296)</f>
        <v>51.76229508196721</v>
      </c>
      <c r="K479" s="3">
        <v>0</v>
      </c>
      <c r="L479" s="3">
        <f>'Data (ignore)'!$B$1188</f>
        <v>184.66</v>
      </c>
      <c r="M479" s="15">
        <v>-1000</v>
      </c>
      <c r="N479" s="10">
        <f>(H479/2*169.11+H479/2*L479)*I479+(J479)+(K479)</f>
        <v>1501.6393442622953</v>
      </c>
      <c r="O479" s="3">
        <f ca="1">(((DATE(2013,9,10)-E479)/2)+($AA$17-E479)/2)/365</f>
        <v>2.0356164383561643</v>
      </c>
      <c r="P479" s="12">
        <f t="shared" si="92"/>
        <v>0.50163934426229528</v>
      </c>
      <c r="Q479" s="12">
        <f t="shared" ca="1" si="93"/>
        <v>0.22106326810652166</v>
      </c>
    </row>
    <row r="480" spans="5:17" x14ac:dyDescent="0.25">
      <c r="E480" s="2">
        <v>40876</v>
      </c>
      <c r="F480" s="13">
        <f t="shared" ca="1" si="96"/>
        <v>41655.533561643839</v>
      </c>
      <c r="G480" s="3">
        <v>120.05</v>
      </c>
      <c r="H480" s="3">
        <f t="shared" si="90"/>
        <v>8.3298625572678056</v>
      </c>
      <c r="I480" s="3">
        <v>1</v>
      </c>
      <c r="J480" s="3">
        <f>H480*SUM(S290:S298)</f>
        <v>60.17492711370263</v>
      </c>
      <c r="K480" s="3">
        <v>0</v>
      </c>
      <c r="L480" s="3">
        <f>'Data (ignore)'!$B$1188</f>
        <v>184.66</v>
      </c>
      <c r="M480" s="15">
        <v>-1000</v>
      </c>
      <c r="N480" s="10">
        <f t="shared" si="99"/>
        <v>1598.3673469387754</v>
      </c>
      <c r="O480" s="3">
        <f t="shared" ca="1" si="101"/>
        <v>2.1342465753424658</v>
      </c>
      <c r="P480" s="12">
        <f t="shared" si="92"/>
        <v>0.59836734693877547</v>
      </c>
      <c r="Q480" s="12">
        <f t="shared" ca="1" si="93"/>
        <v>0.24575475259970281</v>
      </c>
    </row>
    <row r="481" spans="5:17" x14ac:dyDescent="0.25">
      <c r="E481" s="2">
        <v>40954</v>
      </c>
      <c r="F481" s="13">
        <f t="shared" ca="1" si="96"/>
        <v>41655.480136986298</v>
      </c>
      <c r="G481" s="3">
        <v>134.56</v>
      </c>
      <c r="H481" s="3">
        <f t="shared" si="90"/>
        <v>7.4316290130796672</v>
      </c>
      <c r="I481" s="3">
        <v>1</v>
      </c>
      <c r="J481" s="3">
        <f>H481*SUM(S291:S298)</f>
        <v>47.963733650416167</v>
      </c>
      <c r="K481" s="3">
        <v>0</v>
      </c>
      <c r="L481" s="3">
        <f>'Data (ignore)'!$B$1188</f>
        <v>184.66</v>
      </c>
      <c r="M481" s="15">
        <v>-1000</v>
      </c>
      <c r="N481" s="10">
        <f t="shared" si="99"/>
        <v>1420.2883472057074</v>
      </c>
      <c r="O481" s="3">
        <f t="shared" ca="1" si="101"/>
        <v>1.9205479452054794</v>
      </c>
      <c r="P481" s="12">
        <f t="shared" si="92"/>
        <v>0.4202883472057074</v>
      </c>
      <c r="Q481" s="12">
        <f t="shared" ca="1" si="93"/>
        <v>0.2004390932409672</v>
      </c>
    </row>
    <row r="482" spans="5:17" x14ac:dyDescent="0.25">
      <c r="E482" s="2">
        <v>40976</v>
      </c>
      <c r="F482" s="13">
        <f t="shared" ca="1" si="96"/>
        <v>41655.465068493148</v>
      </c>
      <c r="G482" s="3">
        <v>137.04</v>
      </c>
      <c r="H482" s="3">
        <f t="shared" si="90"/>
        <v>7.2971395213076482</v>
      </c>
      <c r="I482" s="3">
        <v>1</v>
      </c>
      <c r="J482" s="3">
        <f>H482*SUM(S291:S298)</f>
        <v>47.095738470519557</v>
      </c>
      <c r="K482" s="3">
        <v>0</v>
      </c>
      <c r="L482" s="3">
        <f>'Data (ignore)'!$B$1188</f>
        <v>184.66</v>
      </c>
      <c r="M482" s="15">
        <v>-1000</v>
      </c>
      <c r="N482" s="10">
        <f t="shared" si="99"/>
        <v>1394.5855224751899</v>
      </c>
      <c r="O482" s="3">
        <f t="shared" ca="1" si="101"/>
        <v>1.8602739726027397</v>
      </c>
      <c r="P482" s="12">
        <f t="shared" si="92"/>
        <v>0.39458552247518991</v>
      </c>
      <c r="Q482" s="12">
        <f t="shared" ca="1" si="93"/>
        <v>0.19576888050750396</v>
      </c>
    </row>
    <row r="483" spans="5:17" x14ac:dyDescent="0.25">
      <c r="E483" s="2">
        <v>40989</v>
      </c>
      <c r="F483" s="13">
        <f t="shared" ca="1" si="96"/>
        <v>41655.456164383562</v>
      </c>
      <c r="G483" s="3">
        <v>140.21</v>
      </c>
      <c r="H483" s="3">
        <f t="shared" ref="H483:H504" si="102">1000/G483</f>
        <v>7.1321589045003915</v>
      </c>
      <c r="I483" s="3">
        <v>1</v>
      </c>
      <c r="J483" s="3">
        <f>H483*SUM(S292:S298)</f>
        <v>41.651808002282287</v>
      </c>
      <c r="K483" s="3">
        <v>0</v>
      </c>
      <c r="L483" s="3">
        <f>'Data (ignore)'!$B$1188</f>
        <v>184.66</v>
      </c>
      <c r="M483" s="15">
        <v>-1000</v>
      </c>
      <c r="N483" s="10">
        <f t="shared" si="99"/>
        <v>1358.6762713073244</v>
      </c>
      <c r="O483" s="3">
        <f t="shared" ca="1" si="101"/>
        <v>1.8246575342465754</v>
      </c>
      <c r="P483" s="12">
        <f t="shared" si="92"/>
        <v>0.35867627130732443</v>
      </c>
      <c r="Q483" s="12">
        <f t="shared" ca="1" si="93"/>
        <v>0.18291614385333022</v>
      </c>
    </row>
    <row r="484" spans="5:17" x14ac:dyDescent="0.25">
      <c r="E484" s="2">
        <v>41003</v>
      </c>
      <c r="F484" s="13">
        <f t="shared" si="96"/>
        <v>41348.236301369863</v>
      </c>
      <c r="G484" s="3">
        <v>139.86000000000001</v>
      </c>
      <c r="H484" s="3">
        <f t="shared" si="102"/>
        <v>7.1500071500071494</v>
      </c>
      <c r="I484" s="3">
        <v>1</v>
      </c>
      <c r="J484" s="3">
        <f>H484*SUM(S292:S295)</f>
        <v>22.758472758472756</v>
      </c>
      <c r="K484" s="3">
        <v>0</v>
      </c>
      <c r="L484" s="3">
        <v>155.83000000000001</v>
      </c>
      <c r="M484" s="15">
        <v>-1000</v>
      </c>
      <c r="N484" s="10">
        <f t="shared" si="99"/>
        <v>1136.9440869440871</v>
      </c>
      <c r="O484" s="3">
        <f>(DATE(2013,3,15)-E484)/365</f>
        <v>0.9452054794520548</v>
      </c>
      <c r="P484" s="12">
        <f>(N484-1000)/1000</f>
        <v>0.13694408694408708</v>
      </c>
      <c r="Q484" s="12">
        <f>(N484/1000)^(1/O484)-1</f>
        <v>0.14543476421383295</v>
      </c>
    </row>
    <row r="485" spans="5:17" x14ac:dyDescent="0.25">
      <c r="E485" s="2">
        <v>41043</v>
      </c>
      <c r="F485" s="13">
        <f t="shared" si="96"/>
        <v>41138.065068493153</v>
      </c>
      <c r="G485" s="3">
        <v>134.11000000000001</v>
      </c>
      <c r="H485" s="3">
        <f t="shared" si="102"/>
        <v>7.4565655059279692</v>
      </c>
      <c r="I485" s="3">
        <v>1</v>
      </c>
      <c r="J485" s="3">
        <f>H485*S292</f>
        <v>5.1301170680784427</v>
      </c>
      <c r="K485" s="3">
        <v>0</v>
      </c>
      <c r="L485" s="3">
        <v>142.18</v>
      </c>
      <c r="M485" s="15">
        <v>-1000</v>
      </c>
      <c r="N485" s="10">
        <f t="shared" si="99"/>
        <v>1065.304600700917</v>
      </c>
      <c r="O485" s="3">
        <f>(DATE(2012,8,17)-E485)/365</f>
        <v>0.26027397260273971</v>
      </c>
      <c r="P485" s="12">
        <f t="shared" ref="P485:P499" si="103">(N485-1000)/1000</f>
        <v>6.5304600700917037E-2</v>
      </c>
      <c r="Q485" s="12">
        <f t="shared" ref="Q485:Q499" si="104">(N485/1000)^(1/O485)-1</f>
        <v>0.27513815665235919</v>
      </c>
    </row>
    <row r="486" spans="5:17" x14ac:dyDescent="0.25">
      <c r="E486" s="2">
        <v>41060</v>
      </c>
      <c r="F486" s="13">
        <f t="shared" ca="1" si="96"/>
        <v>41655.407534246573</v>
      </c>
      <c r="G486" s="3">
        <v>131.47</v>
      </c>
      <c r="H486" s="3">
        <f t="shared" si="102"/>
        <v>7.6062980147562183</v>
      </c>
      <c r="I486" s="3">
        <v>1</v>
      </c>
      <c r="J486" s="3">
        <f>H486*SUM(S292:S298)</f>
        <v>44.420780406176313</v>
      </c>
      <c r="K486" s="3">
        <v>0</v>
      </c>
      <c r="L486" s="3">
        <f>'Data (ignore)'!$B$1188</f>
        <v>184.66</v>
      </c>
      <c r="M486" s="15">
        <v>-1000</v>
      </c>
      <c r="N486" s="10">
        <f t="shared" ref="N486:N504" si="105">H486*I486*L486+(J486)+(K486)</f>
        <v>1448.9997718110596</v>
      </c>
      <c r="O486" s="3">
        <f t="shared" ref="O486:O504" ca="1" si="106">($AA$17-E486)/365</f>
        <v>1.6301369863013699</v>
      </c>
      <c r="P486" s="12">
        <f t="shared" si="103"/>
        <v>0.44899977181105966</v>
      </c>
      <c r="Q486" s="12">
        <f t="shared" ca="1" si="104"/>
        <v>0.25547079544103779</v>
      </c>
    </row>
    <row r="487" spans="5:17" x14ac:dyDescent="0.25">
      <c r="E487" s="2">
        <v>41106</v>
      </c>
      <c r="F487" s="13">
        <f t="shared" si="96"/>
        <v>41437.226712328767</v>
      </c>
      <c r="G487" s="3">
        <v>135.43</v>
      </c>
      <c r="H487" s="3">
        <f t="shared" si="102"/>
        <v>7.3838883556080628</v>
      </c>
      <c r="I487" s="3">
        <v>1</v>
      </c>
      <c r="J487" s="3">
        <f>H487*SUM(S293:S295)</f>
        <v>18.422801447242119</v>
      </c>
      <c r="K487" s="3">
        <v>0</v>
      </c>
      <c r="L487" s="3">
        <v>161.75</v>
      </c>
      <c r="M487" s="15">
        <v>-1000</v>
      </c>
      <c r="N487" s="10">
        <f t="shared" si="105"/>
        <v>1212.7667429668463</v>
      </c>
      <c r="O487" s="3">
        <f>(DATE(2013,6,12)-E487)/365</f>
        <v>0.9068493150684932</v>
      </c>
      <c r="P487" s="12">
        <f t="shared" si="103"/>
        <v>0.21276674296684633</v>
      </c>
      <c r="Q487" s="12">
        <f t="shared" si="104"/>
        <v>0.23703731472574563</v>
      </c>
    </row>
    <row r="488" spans="5:17" x14ac:dyDescent="0.25">
      <c r="E488" s="2">
        <v>41198</v>
      </c>
      <c r="F488" s="13">
        <f t="shared" ca="1" si="96"/>
        <v>41655.313013698629</v>
      </c>
      <c r="G488" s="3">
        <v>145.54</v>
      </c>
      <c r="H488" s="3">
        <f t="shared" si="102"/>
        <v>6.8709633090559299</v>
      </c>
      <c r="I488" s="3">
        <v>1</v>
      </c>
      <c r="J488" s="3">
        <f>H488*SUM(S294:S298)</f>
        <v>30.046722550501578</v>
      </c>
      <c r="K488" s="3">
        <v>0</v>
      </c>
      <c r="L488" s="3">
        <f>'Data (ignore)'!$B$1188</f>
        <v>184.66</v>
      </c>
      <c r="M488" s="15">
        <v>-1000</v>
      </c>
      <c r="N488" s="10">
        <f t="shared" si="105"/>
        <v>1298.8388072007695</v>
      </c>
      <c r="O488" s="3">
        <f t="shared" ca="1" si="106"/>
        <v>1.252054794520548</v>
      </c>
      <c r="P488" s="12">
        <f t="shared" si="103"/>
        <v>0.29883880720076944</v>
      </c>
      <c r="Q488" s="12">
        <f t="shared" ca="1" si="104"/>
        <v>0.23223947412031576</v>
      </c>
    </row>
    <row r="489" spans="5:17" x14ac:dyDescent="0.25">
      <c r="E489" s="2">
        <v>41283</v>
      </c>
      <c r="F489" s="13">
        <f t="shared" ca="1" si="96"/>
        <v>41655.254794520552</v>
      </c>
      <c r="G489" s="3">
        <v>145.91999999999999</v>
      </c>
      <c r="H489" s="3">
        <f t="shared" si="102"/>
        <v>6.8530701754385968</v>
      </c>
      <c r="I489" s="3">
        <v>1</v>
      </c>
      <c r="J489" s="3">
        <f>H489*SUM(S295:S298)</f>
        <v>22.964638157894736</v>
      </c>
      <c r="K489" s="3">
        <v>0</v>
      </c>
      <c r="L489" s="3">
        <f>'Data (ignore)'!$B$1188</f>
        <v>184.66</v>
      </c>
      <c r="M489" s="15">
        <v>-1000</v>
      </c>
      <c r="N489" s="10">
        <f t="shared" si="105"/>
        <v>1288.452576754386</v>
      </c>
      <c r="O489" s="3">
        <f t="shared" ca="1" si="106"/>
        <v>1.0191780821917809</v>
      </c>
      <c r="P489" s="12">
        <f t="shared" si="103"/>
        <v>0.28845257675438596</v>
      </c>
      <c r="Q489" s="12">
        <f t="shared" ca="1" si="104"/>
        <v>0.28232248671509153</v>
      </c>
    </row>
    <row r="490" spans="5:17" x14ac:dyDescent="0.25">
      <c r="E490" s="2">
        <v>41283</v>
      </c>
      <c r="F490" s="13">
        <f t="shared" ca="1" si="96"/>
        <v>41655.254794520552</v>
      </c>
      <c r="G490" s="3">
        <v>145.91999999999999</v>
      </c>
      <c r="H490" s="3">
        <f t="shared" si="102"/>
        <v>6.8530701754385968</v>
      </c>
      <c r="I490" s="3">
        <v>1</v>
      </c>
      <c r="J490" s="3">
        <f>H490*SUM(S295:S298)</f>
        <v>22.964638157894736</v>
      </c>
      <c r="K490" s="3">
        <v>0</v>
      </c>
      <c r="L490" s="3">
        <f>'Data (ignore)'!$B$1188</f>
        <v>184.66</v>
      </c>
      <c r="M490" s="15">
        <v>-1000</v>
      </c>
      <c r="N490" s="10">
        <f t="shared" si="105"/>
        <v>1288.452576754386</v>
      </c>
      <c r="O490" s="3">
        <f t="shared" ca="1" si="106"/>
        <v>1.0191780821917809</v>
      </c>
      <c r="P490" s="12">
        <f t="shared" si="103"/>
        <v>0.28845257675438596</v>
      </c>
      <c r="Q490" s="12">
        <f t="shared" ca="1" si="104"/>
        <v>0.28232248671509153</v>
      </c>
    </row>
    <row r="491" spans="5:17" x14ac:dyDescent="0.25">
      <c r="E491" s="2">
        <v>41283</v>
      </c>
      <c r="F491" s="13">
        <f t="shared" ca="1" si="96"/>
        <v>41655.254794520552</v>
      </c>
      <c r="G491" s="3">
        <v>145.91999999999999</v>
      </c>
      <c r="H491" s="3">
        <f t="shared" si="102"/>
        <v>6.8530701754385968</v>
      </c>
      <c r="I491" s="3">
        <v>1</v>
      </c>
      <c r="J491" s="3">
        <f>H491*SUM(S295:S298)</f>
        <v>22.964638157894736</v>
      </c>
      <c r="K491" s="3">
        <v>0</v>
      </c>
      <c r="L491" s="3">
        <f>'Data (ignore)'!$B$1188</f>
        <v>184.66</v>
      </c>
      <c r="M491" s="15">
        <v>-1000</v>
      </c>
      <c r="N491" s="10">
        <f t="shared" si="105"/>
        <v>1288.452576754386</v>
      </c>
      <c r="O491" s="3">
        <f t="shared" ca="1" si="106"/>
        <v>1.0191780821917809</v>
      </c>
      <c r="P491" s="12">
        <f t="shared" si="103"/>
        <v>0.28845257675438596</v>
      </c>
      <c r="Q491" s="12">
        <f t="shared" ca="1" si="104"/>
        <v>0.28232248671509153</v>
      </c>
    </row>
    <row r="492" spans="5:17" x14ac:dyDescent="0.25">
      <c r="E492" s="2">
        <v>41283</v>
      </c>
      <c r="F492" s="13">
        <f t="shared" ca="1" si="96"/>
        <v>41655.254794520552</v>
      </c>
      <c r="G492" s="3">
        <v>145.91999999999999</v>
      </c>
      <c r="H492" s="3">
        <f t="shared" si="102"/>
        <v>6.8530701754385968</v>
      </c>
      <c r="I492" s="3">
        <v>1</v>
      </c>
      <c r="J492" s="3">
        <f>H492*SUM(S295:S298)</f>
        <v>22.964638157894736</v>
      </c>
      <c r="K492" s="3">
        <v>0</v>
      </c>
      <c r="L492" s="3">
        <f>'Data (ignore)'!$B$1188</f>
        <v>184.66</v>
      </c>
      <c r="M492" s="15">
        <v>-1000</v>
      </c>
      <c r="N492" s="10">
        <f t="shared" si="105"/>
        <v>1288.452576754386</v>
      </c>
      <c r="O492" s="3">
        <f t="shared" ca="1" si="106"/>
        <v>1.0191780821917809</v>
      </c>
      <c r="P492" s="12">
        <f t="shared" si="103"/>
        <v>0.28845257675438596</v>
      </c>
      <c r="Q492" s="12">
        <f t="shared" ca="1" si="104"/>
        <v>0.28232248671509153</v>
      </c>
    </row>
    <row r="493" spans="5:17" x14ac:dyDescent="0.25">
      <c r="E493" s="2">
        <v>41283</v>
      </c>
      <c r="F493" s="13">
        <f t="shared" ca="1" si="96"/>
        <v>41655.254794520552</v>
      </c>
      <c r="G493" s="3">
        <v>145.91999999999999</v>
      </c>
      <c r="H493" s="3">
        <f t="shared" si="102"/>
        <v>6.8530701754385968</v>
      </c>
      <c r="I493" s="3">
        <v>1</v>
      </c>
      <c r="J493" s="3">
        <f>H493*SUM(S295:S298)</f>
        <v>22.964638157894736</v>
      </c>
      <c r="K493" s="3">
        <v>0</v>
      </c>
      <c r="L493" s="3">
        <f>'Data (ignore)'!$B$1188</f>
        <v>184.66</v>
      </c>
      <c r="M493" s="15">
        <v>-1000</v>
      </c>
      <c r="N493" s="10">
        <f t="shared" si="105"/>
        <v>1288.452576754386</v>
      </c>
      <c r="O493" s="3">
        <f t="shared" ca="1" si="106"/>
        <v>1.0191780821917809</v>
      </c>
      <c r="P493" s="12">
        <f t="shared" si="103"/>
        <v>0.28845257675438596</v>
      </c>
      <c r="Q493" s="12">
        <f t="shared" ca="1" si="104"/>
        <v>0.28232248671509153</v>
      </c>
    </row>
    <row r="494" spans="5:17" x14ac:dyDescent="0.25">
      <c r="E494" s="2">
        <v>41283</v>
      </c>
      <c r="F494" s="13">
        <f t="shared" ca="1" si="96"/>
        <v>41655.254794520552</v>
      </c>
      <c r="G494" s="3">
        <v>145.91999999999999</v>
      </c>
      <c r="H494" s="3">
        <f t="shared" si="102"/>
        <v>6.8530701754385968</v>
      </c>
      <c r="I494" s="3">
        <v>1</v>
      </c>
      <c r="J494" s="3">
        <f>H494*SUM(S295:S298)</f>
        <v>22.964638157894736</v>
      </c>
      <c r="K494" s="3">
        <v>0</v>
      </c>
      <c r="L494" s="3">
        <f>'Data (ignore)'!$B$1188</f>
        <v>184.66</v>
      </c>
      <c r="M494" s="15">
        <v>-1000</v>
      </c>
      <c r="N494" s="10">
        <f t="shared" si="105"/>
        <v>1288.452576754386</v>
      </c>
      <c r="O494" s="3">
        <f t="shared" ca="1" si="106"/>
        <v>1.0191780821917809</v>
      </c>
      <c r="P494" s="12">
        <f t="shared" si="103"/>
        <v>0.28845257675438596</v>
      </c>
      <c r="Q494" s="12">
        <f t="shared" ca="1" si="104"/>
        <v>0.28232248671509153</v>
      </c>
    </row>
    <row r="495" spans="5:17" x14ac:dyDescent="0.25">
      <c r="E495" s="2">
        <v>41312</v>
      </c>
      <c r="F495" s="13">
        <f t="shared" ca="1" si="96"/>
        <v>41655.23493150685</v>
      </c>
      <c r="G495" s="3">
        <v>150.96</v>
      </c>
      <c r="H495" s="3">
        <f t="shared" si="102"/>
        <v>6.6242713301536824</v>
      </c>
      <c r="I495" s="3">
        <v>1</v>
      </c>
      <c r="J495" s="3">
        <f>H495*SUM(S295:S298)</f>
        <v>22.19793322734499</v>
      </c>
      <c r="K495" s="3">
        <v>0</v>
      </c>
      <c r="L495" s="3">
        <f>'Data (ignore)'!$B$1188</f>
        <v>184.66</v>
      </c>
      <c r="M495" s="15">
        <v>-1000</v>
      </c>
      <c r="N495" s="10">
        <f t="shared" si="105"/>
        <v>1245.4358770535239</v>
      </c>
      <c r="O495" s="3">
        <f t="shared" ca="1" si="106"/>
        <v>0.9397260273972603</v>
      </c>
      <c r="P495" s="12">
        <f t="shared" si="103"/>
        <v>0.24543587705352388</v>
      </c>
      <c r="Q495" s="12">
        <f t="shared" ca="1" si="104"/>
        <v>0.26309285795379855</v>
      </c>
    </row>
    <row r="496" spans="5:17" x14ac:dyDescent="0.25">
      <c r="E496" s="2">
        <v>41330</v>
      </c>
      <c r="F496" s="13">
        <f t="shared" ca="1" si="96"/>
        <v>41655.222602739726</v>
      </c>
      <c r="G496" s="3">
        <v>149</v>
      </c>
      <c r="H496" s="3">
        <f t="shared" si="102"/>
        <v>6.7114093959731544</v>
      </c>
      <c r="I496" s="3">
        <v>1</v>
      </c>
      <c r="J496" s="3">
        <f>H496*SUM(S295:S298)</f>
        <v>22.48993288590604</v>
      </c>
      <c r="K496" s="3">
        <v>0</v>
      </c>
      <c r="L496" s="3">
        <f>'Data (ignore)'!$B$1188</f>
        <v>184.66</v>
      </c>
      <c r="M496" s="15">
        <v>-1000</v>
      </c>
      <c r="N496" s="10">
        <f t="shared" si="105"/>
        <v>1261.8187919463087</v>
      </c>
      <c r="O496" s="3">
        <f t="shared" ca="1" si="106"/>
        <v>0.8904109589041096</v>
      </c>
      <c r="P496" s="12">
        <f t="shared" si="103"/>
        <v>0.26181879194630869</v>
      </c>
      <c r="Q496" s="12">
        <f t="shared" ca="1" si="104"/>
        <v>0.29845645536019161</v>
      </c>
    </row>
    <row r="497" spans="4:17" x14ac:dyDescent="0.25">
      <c r="E497" s="2">
        <v>41347</v>
      </c>
      <c r="F497" s="13">
        <f t="shared" ca="1" si="96"/>
        <v>41655.210958904107</v>
      </c>
      <c r="G497" s="3">
        <v>156.72999999999999</v>
      </c>
      <c r="H497" s="3">
        <f t="shared" si="102"/>
        <v>6.3803994130032544</v>
      </c>
      <c r="I497" s="3">
        <v>1</v>
      </c>
      <c r="J497" s="3">
        <f>H497*SUM(S295:S298)</f>
        <v>21.380718432973904</v>
      </c>
      <c r="K497" s="3">
        <v>0</v>
      </c>
      <c r="L497" s="3">
        <f>'Data (ignore)'!$B$1188</f>
        <v>184.66</v>
      </c>
      <c r="M497" s="15">
        <v>-1000</v>
      </c>
      <c r="N497" s="10">
        <f t="shared" si="105"/>
        <v>1199.5852740381549</v>
      </c>
      <c r="O497" s="3">
        <f t="shared" ca="1" si="106"/>
        <v>0.84383561643835614</v>
      </c>
      <c r="P497" s="12">
        <f t="shared" si="103"/>
        <v>0.19958527403815493</v>
      </c>
      <c r="Q497" s="12">
        <f t="shared" ca="1" si="104"/>
        <v>0.24067209979581783</v>
      </c>
    </row>
    <row r="498" spans="4:17" x14ac:dyDescent="0.25">
      <c r="E498" s="2">
        <v>41347</v>
      </c>
      <c r="F498" s="13">
        <f t="shared" ca="1" si="96"/>
        <v>41655.210958904107</v>
      </c>
      <c r="G498" s="3">
        <v>156.72999999999999</v>
      </c>
      <c r="H498" s="3">
        <f t="shared" si="102"/>
        <v>6.3803994130032544</v>
      </c>
      <c r="I498" s="3">
        <v>1</v>
      </c>
      <c r="J498" s="3">
        <f>H498/2*SUM(S295:S298)</f>
        <v>10.690359216486952</v>
      </c>
      <c r="K498" s="3">
        <v>0</v>
      </c>
      <c r="L498" s="3">
        <f>'Data (ignore)'!$B$1188</f>
        <v>184.66</v>
      </c>
      <c r="M498" s="15">
        <v>-1000</v>
      </c>
      <c r="N498" s="10">
        <f>H498/2*166.94+H498/2*L498+(J498)+(K498)</f>
        <v>1132.3645760224592</v>
      </c>
      <c r="O498" s="3">
        <f t="shared" ca="1" si="106"/>
        <v>0.84383561643835614</v>
      </c>
      <c r="P498" s="12">
        <f t="shared" si="103"/>
        <v>0.13236457602245924</v>
      </c>
      <c r="Q498" s="12">
        <f t="shared" ca="1" si="104"/>
        <v>0.15871663316261153</v>
      </c>
    </row>
    <row r="499" spans="4:17" x14ac:dyDescent="0.25">
      <c r="E499" s="2">
        <v>41348</v>
      </c>
      <c r="F499" s="13">
        <f t="shared" ca="1" si="96"/>
        <v>41655.210273972603</v>
      </c>
      <c r="G499" s="3">
        <v>155.83000000000001</v>
      </c>
      <c r="H499" s="3">
        <f t="shared" si="102"/>
        <v>6.417249566835654</v>
      </c>
      <c r="I499" s="3">
        <v>1</v>
      </c>
      <c r="J499" s="3">
        <f>H499*SUM(S296:S298)</f>
        <v>17.050632099082332</v>
      </c>
      <c r="K499" s="3">
        <v>0</v>
      </c>
      <c r="L499" s="3">
        <f>'Data (ignore)'!$B$1188</f>
        <v>184.66</v>
      </c>
      <c r="M499" s="15">
        <v>-1000</v>
      </c>
      <c r="N499" s="10">
        <f t="shared" si="105"/>
        <v>1202.0599371109543</v>
      </c>
      <c r="O499" s="3">
        <f t="shared" ca="1" si="106"/>
        <v>0.84109589041095889</v>
      </c>
      <c r="P499" s="12">
        <f t="shared" si="103"/>
        <v>0.20205993711095424</v>
      </c>
      <c r="Q499" s="12">
        <f t="shared" ca="1" si="104"/>
        <v>0.2445896133760983</v>
      </c>
    </row>
    <row r="500" spans="4:17" x14ac:dyDescent="0.25">
      <c r="E500" s="2">
        <v>41372</v>
      </c>
      <c r="F500" s="13">
        <f ca="1">E500+(365.25*O500)</f>
        <v>41655.193835616439</v>
      </c>
      <c r="G500" s="3">
        <v>156.21</v>
      </c>
      <c r="H500" s="3">
        <f t="shared" si="102"/>
        <v>6.4016388195378013</v>
      </c>
      <c r="I500" s="3">
        <v>1</v>
      </c>
      <c r="J500" s="3">
        <f>H500*SUM(S296:S298)</f>
        <v>17.009154343511938</v>
      </c>
      <c r="K500" s="3">
        <v>0</v>
      </c>
      <c r="L500" s="3">
        <f>'Data (ignore)'!$B$1188</f>
        <v>184.66</v>
      </c>
      <c r="M500" s="15">
        <v>-1000</v>
      </c>
      <c r="N500" s="10">
        <f t="shared" si="105"/>
        <v>1199.1357787593622</v>
      </c>
      <c r="O500" s="3">
        <f t="shared" ca="1" si="106"/>
        <v>0.77534246575342469</v>
      </c>
      <c r="P500" s="12">
        <f>(N500-1000)/1000</f>
        <v>0.1991357787593622</v>
      </c>
      <c r="Q500" s="12">
        <f ca="1">(N500/1000)^(1/O500)-1</f>
        <v>0.26392317768199436</v>
      </c>
    </row>
    <row r="501" spans="4:17" x14ac:dyDescent="0.25">
      <c r="E501" s="2">
        <v>41401</v>
      </c>
      <c r="F501" s="13">
        <f ca="1">E501+(365.25*O501)</f>
        <v>41655.173972602737</v>
      </c>
      <c r="G501" s="3">
        <v>162.6</v>
      </c>
      <c r="H501" s="3">
        <f t="shared" si="102"/>
        <v>6.1500615006150063</v>
      </c>
      <c r="I501" s="3">
        <v>1</v>
      </c>
      <c r="J501" s="3">
        <f>H500*SUM(S296:S298)</f>
        <v>17.009154343511938</v>
      </c>
      <c r="K501" s="3">
        <v>0</v>
      </c>
      <c r="L501" s="3">
        <f>'Data (ignore)'!$B$1188</f>
        <v>184.66</v>
      </c>
      <c r="M501" s="15">
        <v>-1000</v>
      </c>
      <c r="N501" s="10">
        <f t="shared" si="105"/>
        <v>1152.6795110470789</v>
      </c>
      <c r="O501" s="3">
        <f t="shared" ca="1" si="106"/>
        <v>0.69589041095890414</v>
      </c>
      <c r="P501" s="12">
        <f>(N501-1000)/1000</f>
        <v>0.15267951104707891</v>
      </c>
      <c r="Q501" s="12">
        <f ca="1">(N501/1000)^(1/O501)-1</f>
        <v>0.22652302707343508</v>
      </c>
    </row>
    <row r="502" spans="4:17" x14ac:dyDescent="0.25">
      <c r="E502" s="2">
        <v>41401</v>
      </c>
      <c r="F502" s="13">
        <f ca="1">E502+(365.25*O502)</f>
        <v>41655.173972602737</v>
      </c>
      <c r="G502" s="3">
        <v>162.6</v>
      </c>
      <c r="H502" s="3">
        <f t="shared" si="102"/>
        <v>6.1500615006150063</v>
      </c>
      <c r="I502" s="3">
        <v>1</v>
      </c>
      <c r="J502" s="3">
        <f>H500*SUM(S296:S298)</f>
        <v>17.009154343511938</v>
      </c>
      <c r="K502" s="3">
        <v>0</v>
      </c>
      <c r="L502" s="3">
        <f>'Data (ignore)'!$B$1188</f>
        <v>184.66</v>
      </c>
      <c r="M502" s="15">
        <v>-1000</v>
      </c>
      <c r="N502" s="10">
        <f t="shared" si="105"/>
        <v>1152.6795110470789</v>
      </c>
      <c r="O502" s="3">
        <f t="shared" ca="1" si="106"/>
        <v>0.69589041095890414</v>
      </c>
      <c r="P502" s="12">
        <f>(N502-1000)/1000</f>
        <v>0.15267951104707891</v>
      </c>
      <c r="Q502" s="12">
        <f ca="1">(N502/1000)^(1/O502)-1</f>
        <v>0.22652302707343508</v>
      </c>
    </row>
    <row r="503" spans="4:17" x14ac:dyDescent="0.25">
      <c r="E503" s="2">
        <v>41628</v>
      </c>
      <c r="F503" s="13">
        <f ca="1">E503+(365.25*O503)</f>
        <v>41655.018493150688</v>
      </c>
      <c r="G503" s="3">
        <v>181.56</v>
      </c>
      <c r="H503" s="3">
        <f t="shared" si="102"/>
        <v>5.5078211059704776</v>
      </c>
      <c r="I503" s="3">
        <v>1</v>
      </c>
      <c r="J503" s="3">
        <v>0</v>
      </c>
      <c r="K503" s="3">
        <v>0</v>
      </c>
      <c r="L503" s="3">
        <f>'Data (ignore)'!$B$1188</f>
        <v>184.66</v>
      </c>
      <c r="M503" s="15">
        <v>-1000</v>
      </c>
      <c r="N503" s="10">
        <f t="shared" si="105"/>
        <v>1017.0742454285083</v>
      </c>
      <c r="O503" s="3">
        <f t="shared" ca="1" si="106"/>
        <v>7.3972602739726029E-2</v>
      </c>
      <c r="P503" s="12">
        <f>(N503-1000)/1000</f>
        <v>1.7074245428508335E-2</v>
      </c>
      <c r="Q503" s="12">
        <f ca="1">(N503/1000)^(1/O503)-1</f>
        <v>0.25717875096677201</v>
      </c>
    </row>
    <row r="504" spans="4:17" x14ac:dyDescent="0.25">
      <c r="E504" s="2">
        <v>41638</v>
      </c>
      <c r="F504" s="13">
        <f ca="1">E504+(365.25*O504)</f>
        <v>41655.01164383562</v>
      </c>
      <c r="G504" s="3">
        <v>183.82</v>
      </c>
      <c r="H504" s="3">
        <f t="shared" si="102"/>
        <v>5.4401044500054407</v>
      </c>
      <c r="I504" s="3">
        <v>1</v>
      </c>
      <c r="J504" s="3">
        <v>0</v>
      </c>
      <c r="K504" s="3">
        <v>0</v>
      </c>
      <c r="L504" s="3">
        <f>'Data (ignore)'!$B$1188</f>
        <v>184.66</v>
      </c>
      <c r="M504" s="15">
        <v>-1000</v>
      </c>
      <c r="N504" s="10">
        <f t="shared" si="105"/>
        <v>1004.5696877380046</v>
      </c>
      <c r="O504" s="3">
        <f t="shared" ca="1" si="106"/>
        <v>4.6575342465753428E-2</v>
      </c>
      <c r="P504" s="12">
        <f>(N504-1000)/1000</f>
        <v>4.5696877380046316E-3</v>
      </c>
      <c r="Q504" s="12">
        <f ca="1">(N504/1000)^(1/O504)-1</f>
        <v>0.10284189541863586</v>
      </c>
    </row>
    <row r="505" spans="4:17" x14ac:dyDescent="0.25">
      <c r="E505" s="2"/>
      <c r="G505" s="3"/>
      <c r="H505" s="3"/>
      <c r="I505" s="3"/>
      <c r="J505" s="3"/>
      <c r="K505" s="3"/>
      <c r="L505" s="3"/>
      <c r="N505" s="10"/>
      <c r="O505" s="3"/>
      <c r="P505" s="3"/>
      <c r="Q505" s="3"/>
    </row>
    <row r="506" spans="4:17" x14ac:dyDescent="0.25">
      <c r="D506" t="s">
        <v>579</v>
      </c>
      <c r="H506" s="23"/>
      <c r="J506" s="23">
        <f>J12</f>
        <v>198000</v>
      </c>
      <c r="K506" t="s">
        <v>573</v>
      </c>
      <c r="L506" s="3"/>
      <c r="N506" s="26">
        <f>SUM(N307:N502)</f>
        <v>289453.55930780782</v>
      </c>
      <c r="O506" s="3"/>
      <c r="P506" s="3"/>
      <c r="Q506" s="3"/>
    </row>
    <row r="507" spans="4:17" x14ac:dyDescent="0.25">
      <c r="E507" s="2"/>
      <c r="G507" s="3"/>
      <c r="H507" s="3"/>
      <c r="I507" s="3"/>
      <c r="J507" s="3"/>
      <c r="K507" s="3"/>
      <c r="L507" s="3"/>
      <c r="N507" s="10"/>
      <c r="O507" s="3"/>
      <c r="P507" s="3"/>
      <c r="Q507" s="3"/>
    </row>
    <row r="508" spans="4:17" x14ac:dyDescent="0.25">
      <c r="E508" s="2"/>
      <c r="G508" s="3"/>
      <c r="H508" s="3"/>
      <c r="I508" s="3"/>
      <c r="J508" s="3"/>
      <c r="K508" s="3"/>
      <c r="L508" s="3"/>
      <c r="N508" s="10"/>
      <c r="O508" s="3"/>
      <c r="P508" s="3"/>
      <c r="Q508" s="3"/>
    </row>
    <row r="509" spans="4:17" x14ac:dyDescent="0.25">
      <c r="E509" s="2"/>
      <c r="G509" s="3"/>
      <c r="H509" s="3"/>
      <c r="I509" s="3"/>
      <c r="J509" s="3"/>
      <c r="K509" s="3"/>
      <c r="L509" s="3"/>
      <c r="N509" s="10"/>
      <c r="O509" s="3"/>
      <c r="P509" s="3"/>
      <c r="Q509" s="3"/>
    </row>
    <row r="510" spans="4:17" x14ac:dyDescent="0.25">
      <c r="E510" s="2"/>
      <c r="G510" s="3"/>
      <c r="H510" s="3"/>
      <c r="I510" s="3"/>
      <c r="J510" s="3"/>
      <c r="K510" s="3"/>
      <c r="L510" s="3"/>
      <c r="N510" s="18" t="s">
        <v>508</v>
      </c>
      <c r="O510" s="19">
        <f ca="1">XIRR(M307:N504, E307:F504,)</f>
        <v>7.5650539994239818E-2</v>
      </c>
      <c r="P510" s="3"/>
      <c r="Q510" s="3"/>
    </row>
    <row r="511" spans="4:17" x14ac:dyDescent="0.25">
      <c r="E511" s="2"/>
      <c r="G511" s="3"/>
      <c r="H511" s="3"/>
      <c r="I511" s="3"/>
      <c r="J511" s="3"/>
      <c r="K511" s="3"/>
      <c r="L511" s="3"/>
      <c r="N511" s="10"/>
      <c r="O511" s="3"/>
      <c r="P511" s="3"/>
      <c r="Q511" s="3"/>
    </row>
    <row r="512" spans="4:17" x14ac:dyDescent="0.25">
      <c r="E512" s="2"/>
      <c r="G512" s="3"/>
      <c r="H512" s="3"/>
      <c r="I512" s="3"/>
      <c r="J512" s="3"/>
      <c r="K512" s="3"/>
      <c r="L512" s="3"/>
      <c r="N512" s="18"/>
      <c r="O512" s="19"/>
      <c r="P512" s="3"/>
      <c r="Q512" s="3"/>
    </row>
    <row r="513" spans="5:17" x14ac:dyDescent="0.25">
      <c r="E513" s="2"/>
      <c r="G513" s="3"/>
      <c r="H513" s="3"/>
      <c r="I513" s="3"/>
      <c r="J513" s="3"/>
      <c r="K513" s="3"/>
      <c r="L513" s="3"/>
      <c r="N513" s="10"/>
      <c r="O513" s="3"/>
      <c r="P513" s="3"/>
      <c r="Q513" s="3"/>
    </row>
    <row r="514" spans="5:17" x14ac:dyDescent="0.25">
      <c r="E514" s="2"/>
      <c r="G514" s="3"/>
      <c r="H514" s="3"/>
      <c r="I514" s="3"/>
      <c r="J514" s="3"/>
      <c r="K514" s="3"/>
      <c r="L514" s="3"/>
      <c r="N514" s="10"/>
      <c r="O514" s="3"/>
      <c r="P514" s="3"/>
      <c r="Q514" s="3"/>
    </row>
    <row r="515" spans="5:17" x14ac:dyDescent="0.25">
      <c r="E515" s="2"/>
      <c r="G515" s="3"/>
      <c r="H515" s="3"/>
      <c r="I515" s="3"/>
      <c r="J515" s="3"/>
      <c r="K515" s="3"/>
      <c r="L515" s="3"/>
      <c r="N515" s="10"/>
      <c r="O515" s="3"/>
      <c r="P515" s="3"/>
      <c r="Q515" s="3"/>
    </row>
    <row r="516" spans="5:17" x14ac:dyDescent="0.25">
      <c r="E516" s="2"/>
      <c r="G516" s="3"/>
      <c r="H516" s="3"/>
      <c r="I516" s="3"/>
      <c r="J516" s="3"/>
      <c r="K516" s="3"/>
      <c r="L516" s="3"/>
      <c r="N516" s="10"/>
      <c r="O516" s="3"/>
      <c r="P516" s="3"/>
      <c r="Q516" s="3"/>
    </row>
    <row r="517" spans="5:17" x14ac:dyDescent="0.25">
      <c r="E517" s="2"/>
      <c r="G517" s="3"/>
      <c r="H517" s="3"/>
      <c r="I517" s="3"/>
      <c r="J517" s="3"/>
      <c r="K517" s="3"/>
      <c r="L517" s="3"/>
      <c r="N517" s="10"/>
      <c r="O517" s="3"/>
      <c r="P517" s="3"/>
      <c r="Q517" s="3"/>
    </row>
    <row r="518" spans="5:17" x14ac:dyDescent="0.25">
      <c r="E518" s="2"/>
      <c r="G518" s="3"/>
      <c r="H518" s="3"/>
      <c r="I518" s="3"/>
      <c r="J518" s="3"/>
      <c r="K518" s="3"/>
      <c r="L518" s="3"/>
      <c r="N518" s="10"/>
      <c r="O518" s="3"/>
      <c r="P518" s="3"/>
      <c r="Q518" s="3"/>
    </row>
    <row r="519" spans="5:17" x14ac:dyDescent="0.25">
      <c r="E519" s="2"/>
      <c r="G519" s="3"/>
      <c r="H519" s="3"/>
      <c r="I519" s="3"/>
      <c r="J519" s="3"/>
      <c r="K519" s="3"/>
      <c r="L519" s="3"/>
      <c r="N519" s="10"/>
      <c r="O519" s="3"/>
      <c r="P519" s="3"/>
      <c r="Q519" s="3"/>
    </row>
    <row r="520" spans="5:17" x14ac:dyDescent="0.25">
      <c r="E520" s="2"/>
      <c r="G520" s="3"/>
      <c r="H520" s="3"/>
      <c r="I520" s="3"/>
      <c r="J520" s="3"/>
      <c r="K520" s="3"/>
      <c r="L520" s="3"/>
      <c r="N520" s="10"/>
      <c r="O520" s="3"/>
      <c r="P520" s="3"/>
      <c r="Q520" s="3"/>
    </row>
    <row r="521" spans="5:17" x14ac:dyDescent="0.25">
      <c r="E521" s="2"/>
      <c r="G521" s="3"/>
      <c r="H521" s="3"/>
      <c r="I521" s="3"/>
      <c r="J521" s="3"/>
      <c r="K521" s="3"/>
      <c r="L521" s="3"/>
      <c r="N521" s="10"/>
      <c r="O521" s="3"/>
      <c r="P521" s="3"/>
      <c r="Q521" s="3"/>
    </row>
    <row r="522" spans="5:17" x14ac:dyDescent="0.25">
      <c r="E522" s="2"/>
      <c r="G522" s="3"/>
      <c r="H522" s="3"/>
      <c r="I522" s="3"/>
      <c r="J522" s="3"/>
      <c r="K522" s="3"/>
      <c r="L522" s="3"/>
      <c r="N522" s="10"/>
      <c r="O522" s="3"/>
      <c r="P522" s="3"/>
      <c r="Q522" s="3"/>
    </row>
    <row r="523" spans="5:17" x14ac:dyDescent="0.25">
      <c r="E523" s="2"/>
      <c r="G523" s="3"/>
      <c r="H523" s="3"/>
      <c r="I523" s="3"/>
      <c r="J523" s="3"/>
      <c r="K523" s="3"/>
      <c r="L523" s="3"/>
      <c r="N523" s="10"/>
      <c r="O523" s="3"/>
      <c r="P523" s="3"/>
      <c r="Q523" s="3"/>
    </row>
    <row r="524" spans="5:17" x14ac:dyDescent="0.25">
      <c r="E524" s="2"/>
      <c r="G524" s="3"/>
      <c r="H524" s="3"/>
      <c r="I524" s="3"/>
      <c r="J524" s="3"/>
      <c r="K524" s="3"/>
      <c r="L524" s="3"/>
      <c r="N524" s="10"/>
      <c r="O524" s="3"/>
      <c r="P524" s="3"/>
      <c r="Q524" s="3"/>
    </row>
    <row r="525" spans="5:17" x14ac:dyDescent="0.25">
      <c r="E525" s="2"/>
      <c r="G525" s="3"/>
      <c r="H525" s="3"/>
      <c r="I525" s="3"/>
      <c r="J525" s="3"/>
      <c r="K525" s="3"/>
      <c r="L525" s="3"/>
      <c r="N525" s="10"/>
      <c r="O525" s="3"/>
      <c r="P525" s="3"/>
      <c r="Q525" s="3"/>
    </row>
    <row r="526" spans="5:17" x14ac:dyDescent="0.25">
      <c r="E526" s="2"/>
      <c r="G526" s="3"/>
      <c r="H526" s="3"/>
      <c r="I526" s="3"/>
      <c r="J526" s="3"/>
      <c r="K526" s="3"/>
      <c r="L526" s="3"/>
      <c r="N526" s="10"/>
      <c r="O526" s="3"/>
      <c r="P526" s="3"/>
      <c r="Q526" s="3"/>
    </row>
    <row r="527" spans="5:17" x14ac:dyDescent="0.25">
      <c r="E527" s="2"/>
      <c r="G527" s="3"/>
      <c r="H527" s="3"/>
      <c r="I527" s="3"/>
      <c r="J527" s="3"/>
      <c r="K527" s="3"/>
      <c r="L527" s="3"/>
      <c r="N527" s="10"/>
      <c r="O527" s="3"/>
      <c r="P527" s="3"/>
      <c r="Q527" s="3"/>
    </row>
    <row r="528" spans="5:17" x14ac:dyDescent="0.25">
      <c r="E528" s="2"/>
      <c r="G528" s="3"/>
      <c r="H528" s="3"/>
      <c r="I528" s="3"/>
      <c r="J528" s="3"/>
      <c r="K528" s="3"/>
      <c r="L528" s="3"/>
      <c r="N528" s="10"/>
      <c r="O528" s="3"/>
      <c r="P528" s="3"/>
      <c r="Q528" s="3"/>
    </row>
    <row r="529" spans="5:17" x14ac:dyDescent="0.25">
      <c r="E529" s="2"/>
      <c r="G529" s="3"/>
      <c r="H529" s="3"/>
      <c r="I529" s="3"/>
      <c r="J529" s="3"/>
      <c r="K529" s="3"/>
      <c r="L529" s="3"/>
      <c r="N529" s="10"/>
      <c r="O529" s="3"/>
      <c r="P529" s="3"/>
      <c r="Q529" s="3"/>
    </row>
    <row r="530" spans="5:17" x14ac:dyDescent="0.25">
      <c r="E530" s="2"/>
      <c r="G530" s="3"/>
      <c r="H530" s="3"/>
      <c r="I530" s="3"/>
      <c r="J530" s="3"/>
      <c r="K530" s="3"/>
      <c r="L530" s="3"/>
      <c r="N530" s="10"/>
      <c r="O530" s="3"/>
      <c r="P530" s="3"/>
      <c r="Q530" s="3"/>
    </row>
    <row r="531" spans="5:17" x14ac:dyDescent="0.25">
      <c r="E531" s="2"/>
      <c r="G531" s="3"/>
      <c r="H531" s="3"/>
      <c r="I531" s="3"/>
      <c r="J531" s="3"/>
      <c r="K531" s="3"/>
      <c r="L531" s="3"/>
      <c r="N531" s="10"/>
      <c r="O531" s="3"/>
      <c r="P531" s="3"/>
      <c r="Q531" s="3"/>
    </row>
    <row r="532" spans="5:17" x14ac:dyDescent="0.25">
      <c r="E532" s="2"/>
      <c r="G532" s="3"/>
      <c r="H532" s="3"/>
      <c r="I532" s="3"/>
      <c r="J532" s="3"/>
      <c r="K532" s="3"/>
      <c r="L532" s="3"/>
      <c r="N532" s="10"/>
      <c r="O532" s="3"/>
      <c r="P532" s="3"/>
      <c r="Q532" s="3"/>
    </row>
    <row r="533" spans="5:17" x14ac:dyDescent="0.25">
      <c r="E533" s="2"/>
      <c r="G533" s="3"/>
      <c r="H533" s="3"/>
      <c r="I533" s="3"/>
      <c r="J533" s="3"/>
      <c r="K533" s="3"/>
      <c r="L533" s="3"/>
      <c r="N533" s="10"/>
      <c r="O533" s="3"/>
      <c r="P533" s="3"/>
      <c r="Q533" s="3"/>
    </row>
    <row r="534" spans="5:17" x14ac:dyDescent="0.25">
      <c r="E534" s="2"/>
      <c r="G534" s="3"/>
      <c r="H534" s="3"/>
      <c r="I534" s="3"/>
      <c r="J534" s="3"/>
      <c r="K534" s="3"/>
      <c r="L534" s="3"/>
      <c r="N534" s="10"/>
      <c r="O534" s="3"/>
      <c r="P534" s="3"/>
      <c r="Q534" s="3"/>
    </row>
    <row r="535" spans="5:17" x14ac:dyDescent="0.25">
      <c r="E535" s="2"/>
      <c r="G535" s="3"/>
      <c r="H535" s="3"/>
      <c r="I535" s="3"/>
      <c r="J535" s="3"/>
      <c r="K535" s="3"/>
      <c r="L535" s="3"/>
      <c r="N535" s="10"/>
      <c r="O535" s="3"/>
      <c r="P535" s="3"/>
      <c r="Q535" s="3"/>
    </row>
    <row r="536" spans="5:17" x14ac:dyDescent="0.25">
      <c r="E536" s="2"/>
      <c r="G536" s="3"/>
      <c r="H536" s="3"/>
      <c r="I536" s="3"/>
      <c r="J536" s="3"/>
      <c r="K536" s="3"/>
      <c r="L536" s="3"/>
      <c r="N536" s="10"/>
      <c r="O536" s="3"/>
      <c r="P536" s="3"/>
      <c r="Q536" s="3"/>
    </row>
    <row r="537" spans="5:17" x14ac:dyDescent="0.25">
      <c r="E537" s="2"/>
      <c r="G537" s="3"/>
      <c r="H537" s="3"/>
      <c r="I537" s="3"/>
      <c r="J537" s="3"/>
      <c r="K537" s="3"/>
      <c r="L537" s="3"/>
      <c r="N537" s="10"/>
      <c r="O537" s="3"/>
      <c r="P537" s="3"/>
      <c r="Q537" s="3"/>
    </row>
    <row r="538" spans="5:17" x14ac:dyDescent="0.25">
      <c r="E538" s="2"/>
      <c r="G538" s="3"/>
      <c r="H538" s="3"/>
      <c r="I538" s="3"/>
      <c r="J538" s="3"/>
      <c r="K538" s="3"/>
      <c r="L538" s="3"/>
      <c r="N538" s="10"/>
      <c r="O538" s="3"/>
      <c r="P538" s="3"/>
      <c r="Q538" s="3"/>
    </row>
    <row r="539" spans="5:17" x14ac:dyDescent="0.25">
      <c r="E539" s="2"/>
      <c r="G539" s="3"/>
      <c r="H539" s="3"/>
      <c r="I539" s="3"/>
      <c r="J539" s="3"/>
      <c r="K539" s="3"/>
      <c r="L539" s="3"/>
      <c r="N539" s="10"/>
      <c r="O539" s="3"/>
      <c r="P539" s="3"/>
      <c r="Q539" s="3"/>
    </row>
    <row r="540" spans="5:17" x14ac:dyDescent="0.25">
      <c r="E540" s="2"/>
      <c r="G540" s="3"/>
      <c r="H540" s="3"/>
      <c r="I540" s="3"/>
      <c r="J540" s="3"/>
      <c r="K540" s="3"/>
      <c r="L540" s="3"/>
      <c r="N540" s="10"/>
      <c r="O540" s="3"/>
      <c r="P540" s="3"/>
      <c r="Q540" s="3"/>
    </row>
    <row r="541" spans="5:17" x14ac:dyDescent="0.25">
      <c r="E541" s="2"/>
      <c r="G541" s="3"/>
      <c r="H541" s="3"/>
      <c r="I541" s="3"/>
      <c r="J541" s="3"/>
      <c r="K541" s="3"/>
      <c r="L541" s="3"/>
      <c r="N541" s="10"/>
      <c r="O541" s="3"/>
      <c r="P541" s="3"/>
      <c r="Q541" s="3"/>
    </row>
    <row r="542" spans="5:17" x14ac:dyDescent="0.25">
      <c r="E542" s="2"/>
      <c r="G542" s="3"/>
      <c r="H542" s="3"/>
      <c r="I542" s="3"/>
      <c r="J542" s="3"/>
      <c r="K542" s="3"/>
      <c r="L542" s="3"/>
      <c r="N542" s="10"/>
      <c r="O542" s="3"/>
      <c r="P542" s="3"/>
      <c r="Q542" s="3"/>
    </row>
    <row r="543" spans="5:17" x14ac:dyDescent="0.25">
      <c r="E543" s="2"/>
      <c r="G543" s="3"/>
      <c r="H543" s="3"/>
      <c r="I543" s="3"/>
      <c r="J543" s="3"/>
      <c r="K543" s="3"/>
      <c r="L543" s="3"/>
      <c r="N543" s="10"/>
      <c r="O543" s="3"/>
      <c r="P543" s="3"/>
      <c r="Q543" s="3"/>
    </row>
    <row r="544" spans="5:17" x14ac:dyDescent="0.25">
      <c r="E544" s="2"/>
      <c r="G544" s="3"/>
      <c r="H544" s="3"/>
      <c r="I544" s="3"/>
      <c r="J544" s="3"/>
      <c r="K544" s="3"/>
      <c r="L544" s="3"/>
      <c r="N544" s="10"/>
      <c r="O544" s="3"/>
      <c r="P544" s="3"/>
      <c r="Q544" s="3"/>
    </row>
    <row r="545" spans="5:17" x14ac:dyDescent="0.25">
      <c r="E545" s="2"/>
      <c r="G545" s="3"/>
      <c r="H545" s="3"/>
      <c r="I545" s="3"/>
      <c r="J545" s="3"/>
      <c r="K545" s="3"/>
      <c r="L545" s="3"/>
      <c r="N545" s="10"/>
      <c r="O545" s="3"/>
      <c r="P545" s="3"/>
      <c r="Q545" s="3"/>
    </row>
    <row r="546" spans="5:17" x14ac:dyDescent="0.25">
      <c r="E546" s="2"/>
      <c r="G546" s="3"/>
      <c r="H546" s="3"/>
      <c r="I546" s="3"/>
      <c r="J546" s="3"/>
      <c r="K546" s="3"/>
      <c r="L546" s="3"/>
      <c r="N546" s="10"/>
      <c r="O546" s="3"/>
      <c r="P546" s="3"/>
      <c r="Q546" s="3"/>
    </row>
    <row r="547" spans="5:17" x14ac:dyDescent="0.25">
      <c r="E547" s="2"/>
      <c r="G547" s="3"/>
      <c r="H547" s="3"/>
      <c r="I547" s="3"/>
      <c r="J547" s="3"/>
      <c r="K547" s="3"/>
      <c r="L547" s="3"/>
      <c r="N547" s="10"/>
      <c r="O547" s="3"/>
      <c r="P547" s="3"/>
      <c r="Q547" s="3"/>
    </row>
    <row r="548" spans="5:17" x14ac:dyDescent="0.25">
      <c r="E548" s="2"/>
      <c r="G548" s="3"/>
      <c r="H548" s="3"/>
      <c r="I548" s="3"/>
      <c r="J548" s="3"/>
      <c r="K548" s="3"/>
      <c r="L548" s="3"/>
      <c r="N548" s="10"/>
      <c r="O548" s="3"/>
      <c r="P548" s="3"/>
      <c r="Q548" s="3"/>
    </row>
    <row r="549" spans="5:17" x14ac:dyDescent="0.25">
      <c r="E549" s="2"/>
      <c r="G549" s="3"/>
      <c r="H549" s="3"/>
      <c r="I549" s="3"/>
      <c r="J549" s="3"/>
      <c r="K549" s="3"/>
      <c r="L549" s="3"/>
      <c r="N549" s="10"/>
      <c r="O549" s="3"/>
      <c r="P549" s="3"/>
      <c r="Q549" s="3"/>
    </row>
    <row r="550" spans="5:17" x14ac:dyDescent="0.25">
      <c r="E550" s="2"/>
      <c r="G550" s="3"/>
      <c r="H550" s="3"/>
      <c r="I550" s="3"/>
      <c r="J550" s="3"/>
      <c r="K550" s="3"/>
      <c r="L550" s="3"/>
      <c r="N550" s="10"/>
      <c r="O550" s="3"/>
      <c r="P550" s="3"/>
      <c r="Q550" s="3"/>
    </row>
    <row r="551" spans="5:17" x14ac:dyDescent="0.25">
      <c r="E551" s="2"/>
      <c r="G551" s="3"/>
      <c r="H551" s="3"/>
      <c r="I551" s="3"/>
      <c r="J551" s="3"/>
      <c r="K551" s="3"/>
      <c r="L551" s="3"/>
      <c r="N551" s="10"/>
      <c r="O551" s="3"/>
      <c r="P551" s="3"/>
      <c r="Q551" s="3"/>
    </row>
    <row r="552" spans="5:17" x14ac:dyDescent="0.25">
      <c r="E552" s="2"/>
      <c r="G552" s="3"/>
      <c r="H552" s="3"/>
      <c r="I552" s="3"/>
      <c r="J552" s="3"/>
      <c r="K552" s="3"/>
      <c r="L552" s="3"/>
      <c r="N552" s="10"/>
      <c r="O552" s="3"/>
      <c r="P552" s="3"/>
      <c r="Q552" s="3"/>
    </row>
    <row r="553" spans="5:17" x14ac:dyDescent="0.25">
      <c r="E553" s="2"/>
      <c r="G553" s="3"/>
      <c r="H553" s="3"/>
      <c r="I553" s="3"/>
      <c r="J553" s="3"/>
      <c r="K553" s="3"/>
      <c r="L553" s="3"/>
      <c r="N553" s="10"/>
      <c r="O553" s="3"/>
      <c r="P553" s="3"/>
      <c r="Q553" s="3"/>
    </row>
    <row r="554" spans="5:17" x14ac:dyDescent="0.25">
      <c r="E554" s="2"/>
      <c r="G554" s="3"/>
      <c r="H554" s="3"/>
      <c r="I554" s="3"/>
      <c r="J554" s="3"/>
      <c r="K554" s="3"/>
      <c r="L554" s="3"/>
      <c r="N554" s="10"/>
      <c r="O554" s="3"/>
      <c r="P554" s="3"/>
      <c r="Q554" s="3"/>
    </row>
    <row r="555" spans="5:17" x14ac:dyDescent="0.25">
      <c r="E555" s="2"/>
      <c r="G555" s="3"/>
      <c r="H555" s="3"/>
      <c r="I555" s="3"/>
      <c r="J555" s="3"/>
      <c r="K555" s="3"/>
      <c r="L555" s="3"/>
      <c r="N555" s="10"/>
      <c r="O555" s="3"/>
      <c r="P555" s="3"/>
      <c r="Q555" s="3"/>
    </row>
    <row r="556" spans="5:17" x14ac:dyDescent="0.25">
      <c r="E556" s="2"/>
      <c r="G556" s="3"/>
      <c r="H556" s="3"/>
      <c r="I556" s="3"/>
      <c r="J556" s="3"/>
      <c r="K556" s="3"/>
      <c r="L556" s="3"/>
      <c r="N556" s="10"/>
      <c r="O556" s="3"/>
      <c r="P556" s="3"/>
      <c r="Q556" s="3"/>
    </row>
    <row r="557" spans="5:17" x14ac:dyDescent="0.25">
      <c r="E557" s="2"/>
      <c r="G557" s="3"/>
      <c r="H557" s="3"/>
      <c r="I557" s="3"/>
      <c r="J557" s="3"/>
      <c r="K557" s="3"/>
      <c r="L557" s="3"/>
      <c r="N557" s="10"/>
      <c r="O557" s="3"/>
      <c r="P557" s="3"/>
      <c r="Q557" s="3"/>
    </row>
    <row r="558" spans="5:17" x14ac:dyDescent="0.25">
      <c r="E558" s="2"/>
      <c r="G558" s="3"/>
      <c r="H558" s="3"/>
      <c r="I558" s="3"/>
      <c r="J558" s="3"/>
      <c r="K558" s="3"/>
      <c r="L558" s="3"/>
      <c r="N558" s="10"/>
      <c r="O558" s="3"/>
      <c r="P558" s="3"/>
      <c r="Q558" s="3"/>
    </row>
    <row r="559" spans="5:17" x14ac:dyDescent="0.25">
      <c r="E559" s="2"/>
      <c r="G559" s="3"/>
      <c r="H559" s="3"/>
      <c r="I559" s="3"/>
      <c r="J559" s="3"/>
      <c r="K559" s="3"/>
      <c r="L559" s="3"/>
      <c r="N559" s="10"/>
      <c r="O559" s="3"/>
      <c r="P559" s="3"/>
      <c r="Q559" s="3"/>
    </row>
    <row r="560" spans="5:17" x14ac:dyDescent="0.25">
      <c r="E560" s="2"/>
      <c r="G560" s="3"/>
      <c r="H560" s="3"/>
      <c r="I560" s="3"/>
      <c r="J560" s="3"/>
      <c r="K560" s="3"/>
      <c r="L560" s="3"/>
      <c r="N560" s="10"/>
      <c r="O560" s="3"/>
      <c r="P560" s="3"/>
      <c r="Q560" s="3"/>
    </row>
    <row r="561" spans="5:17" x14ac:dyDescent="0.25">
      <c r="E561" s="2"/>
      <c r="G561" s="3"/>
      <c r="H561" s="3"/>
      <c r="I561" s="3"/>
      <c r="J561" s="3"/>
      <c r="K561" s="3"/>
      <c r="L561" s="3"/>
      <c r="N561" s="10"/>
      <c r="O561" s="3"/>
      <c r="P561" s="3"/>
      <c r="Q561" s="3"/>
    </row>
    <row r="562" spans="5:17" x14ac:dyDescent="0.25">
      <c r="E562" s="2"/>
      <c r="G562" s="3"/>
      <c r="H562" s="3"/>
      <c r="I562" s="3"/>
      <c r="J562" s="3"/>
      <c r="K562" s="3"/>
      <c r="L562" s="3"/>
      <c r="N562" s="10"/>
      <c r="O562" s="3"/>
      <c r="P562" s="3"/>
      <c r="Q562" s="3"/>
    </row>
    <row r="563" spans="5:17" x14ac:dyDescent="0.25">
      <c r="E563" s="2"/>
      <c r="G563" s="3"/>
      <c r="H563" s="3"/>
      <c r="I563" s="3"/>
      <c r="J563" s="3"/>
      <c r="K563" s="3"/>
      <c r="L563" s="3"/>
      <c r="N563" s="10"/>
      <c r="O563" s="3"/>
      <c r="P563" s="3"/>
      <c r="Q563" s="3"/>
    </row>
    <row r="564" spans="5:17" x14ac:dyDescent="0.25">
      <c r="E564" s="2"/>
      <c r="G564" s="3"/>
      <c r="H564" s="3"/>
      <c r="I564" s="3"/>
      <c r="J564" s="3"/>
      <c r="K564" s="3"/>
      <c r="L564" s="3"/>
      <c r="N564" s="10"/>
      <c r="O564" s="3"/>
      <c r="P564" s="3"/>
      <c r="Q564" s="3"/>
    </row>
    <row r="565" spans="5:17" x14ac:dyDescent="0.25">
      <c r="E565" s="2"/>
      <c r="G565" s="3"/>
      <c r="H565" s="3"/>
      <c r="I565" s="3"/>
      <c r="J565" s="3"/>
      <c r="K565" s="3"/>
      <c r="L565" s="3"/>
      <c r="N565" s="10"/>
      <c r="O565" s="3"/>
      <c r="P565" s="3"/>
      <c r="Q565" s="3"/>
    </row>
    <row r="566" spans="5:17" x14ac:dyDescent="0.25">
      <c r="E566" s="2"/>
      <c r="G566" s="3"/>
      <c r="H566" s="3"/>
      <c r="I566" s="3"/>
      <c r="J566" s="3"/>
      <c r="K566" s="3"/>
      <c r="L566" s="3"/>
      <c r="N566" s="10"/>
      <c r="O566" s="3"/>
      <c r="P566" s="3"/>
      <c r="Q566" s="3"/>
    </row>
    <row r="567" spans="5:17" x14ac:dyDescent="0.25">
      <c r="E567" s="2"/>
      <c r="G567" s="3"/>
      <c r="H567" s="3"/>
      <c r="I567" s="3"/>
      <c r="J567" s="3"/>
      <c r="K567" s="3"/>
      <c r="L567" s="3"/>
      <c r="N567" s="10"/>
      <c r="O567" s="3"/>
      <c r="P567" s="3"/>
      <c r="Q567" s="3"/>
    </row>
    <row r="568" spans="5:17" x14ac:dyDescent="0.25">
      <c r="E568" s="2"/>
      <c r="G568" s="3"/>
      <c r="H568" s="3"/>
      <c r="I568" s="3"/>
      <c r="J568" s="3"/>
      <c r="K568" s="3"/>
      <c r="L568" s="3"/>
      <c r="N568" s="10"/>
      <c r="O568" s="3"/>
      <c r="P568" s="3"/>
      <c r="Q568" s="3"/>
    </row>
    <row r="569" spans="5:17" x14ac:dyDescent="0.25">
      <c r="E569" s="2"/>
      <c r="G569" s="3"/>
      <c r="H569" s="3"/>
      <c r="I569" s="3"/>
      <c r="J569" s="3"/>
      <c r="K569" s="3"/>
      <c r="L569" s="3"/>
      <c r="N569" s="10"/>
      <c r="O569" s="3"/>
      <c r="P569" s="3"/>
      <c r="Q569" s="3"/>
    </row>
    <row r="570" spans="5:17" x14ac:dyDescent="0.25">
      <c r="E570" s="2"/>
      <c r="G570" s="3"/>
      <c r="H570" s="3"/>
      <c r="I570" s="3"/>
      <c r="J570" s="3"/>
      <c r="K570" s="3"/>
      <c r="L570" s="3"/>
      <c r="N570" s="10"/>
      <c r="O570" s="3"/>
      <c r="P570" s="3"/>
      <c r="Q570" s="3"/>
    </row>
    <row r="571" spans="5:17" x14ac:dyDescent="0.25">
      <c r="E571" s="2"/>
      <c r="G571" s="3"/>
      <c r="H571" s="3"/>
      <c r="I571" s="3"/>
      <c r="J571" s="3"/>
      <c r="K571" s="3"/>
      <c r="L571" s="3"/>
      <c r="N571" s="10"/>
      <c r="O571" s="3"/>
      <c r="P571" s="3"/>
      <c r="Q571" s="3"/>
    </row>
    <row r="572" spans="5:17" x14ac:dyDescent="0.25">
      <c r="E572" s="2"/>
      <c r="G572" s="3"/>
      <c r="H572" s="3"/>
      <c r="I572" s="3"/>
      <c r="J572" s="3"/>
      <c r="K572" s="3"/>
      <c r="L572" s="3"/>
      <c r="N572" s="10"/>
      <c r="O572" s="3"/>
      <c r="P572" s="3"/>
      <c r="Q572" s="3"/>
    </row>
    <row r="573" spans="5:17" x14ac:dyDescent="0.25">
      <c r="E573" s="2"/>
      <c r="G573" s="3"/>
      <c r="H573" s="3"/>
      <c r="I573" s="3"/>
      <c r="J573" s="3"/>
      <c r="K573" s="3"/>
      <c r="L573" s="3"/>
      <c r="N573" s="10"/>
      <c r="O573" s="3"/>
      <c r="P573" s="3"/>
      <c r="Q573" s="3"/>
    </row>
    <row r="574" spans="5:17" x14ac:dyDescent="0.25">
      <c r="E574" s="2"/>
      <c r="G574" s="3"/>
      <c r="H574" s="3"/>
      <c r="I574" s="3"/>
      <c r="J574" s="3"/>
      <c r="K574" s="3"/>
      <c r="L574" s="3"/>
      <c r="N574" s="10"/>
      <c r="O574" s="3"/>
      <c r="P574" s="3"/>
      <c r="Q574" s="3"/>
    </row>
    <row r="575" spans="5:17" x14ac:dyDescent="0.25">
      <c r="E575" s="2"/>
      <c r="G575" s="3"/>
      <c r="H575" s="3"/>
      <c r="I575" s="3"/>
      <c r="J575" s="3"/>
      <c r="K575" s="3"/>
      <c r="L575" s="3"/>
      <c r="N575" s="10"/>
      <c r="O575" s="3"/>
      <c r="P575" s="3"/>
      <c r="Q575" s="3"/>
    </row>
    <row r="576" spans="5:17" x14ac:dyDescent="0.25">
      <c r="E576" s="2"/>
      <c r="G576" s="3"/>
      <c r="H576" s="3"/>
      <c r="I576" s="3"/>
      <c r="J576" s="3"/>
      <c r="K576" s="3"/>
      <c r="L576" s="3"/>
      <c r="N576" s="10"/>
      <c r="O576" s="3"/>
      <c r="P576" s="3"/>
      <c r="Q576" s="3"/>
    </row>
    <row r="577" spans="5:17" x14ac:dyDescent="0.25">
      <c r="E577" s="2"/>
      <c r="G577" s="3"/>
      <c r="H577" s="3"/>
      <c r="I577" s="3"/>
      <c r="J577" s="3"/>
      <c r="K577" s="3"/>
      <c r="L577" s="3"/>
      <c r="N577" s="10"/>
      <c r="O577" s="3"/>
      <c r="P577" s="3"/>
      <c r="Q577" s="3"/>
    </row>
    <row r="578" spans="5:17" x14ac:dyDescent="0.25">
      <c r="E578" s="2"/>
      <c r="G578" s="3"/>
      <c r="H578" s="3"/>
      <c r="I578" s="3"/>
      <c r="J578" s="3"/>
      <c r="K578" s="3"/>
      <c r="L578" s="3"/>
      <c r="N578" s="10"/>
      <c r="O578" s="3"/>
      <c r="P578" s="3"/>
      <c r="Q578" s="3"/>
    </row>
    <row r="579" spans="5:17" x14ac:dyDescent="0.25">
      <c r="E579" s="2"/>
      <c r="G579" s="3"/>
      <c r="H579" s="3"/>
      <c r="I579" s="3"/>
      <c r="J579" s="3"/>
      <c r="K579" s="3"/>
      <c r="L579" s="3"/>
      <c r="N579" s="10"/>
      <c r="O579" s="3"/>
      <c r="P579" s="3"/>
      <c r="Q579" s="3"/>
    </row>
    <row r="580" spans="5:17" x14ac:dyDescent="0.25">
      <c r="E580" s="2"/>
      <c r="G580" s="3"/>
      <c r="H580" s="3"/>
      <c r="I580" s="3"/>
      <c r="J580" s="3"/>
      <c r="K580" s="3"/>
      <c r="L580" s="3"/>
      <c r="N580" s="10"/>
      <c r="O580" s="3"/>
      <c r="P580" s="3"/>
      <c r="Q580" s="3"/>
    </row>
    <row r="581" spans="5:17" x14ac:dyDescent="0.25">
      <c r="E581" s="2"/>
      <c r="G581" s="3"/>
      <c r="H581" s="3"/>
      <c r="I581" s="3"/>
      <c r="J581" s="3"/>
      <c r="K581" s="3"/>
      <c r="L581" s="3"/>
      <c r="N581" s="10"/>
      <c r="O581" s="3"/>
      <c r="P581" s="3"/>
      <c r="Q581" s="3"/>
    </row>
    <row r="582" spans="5:17" x14ac:dyDescent="0.25">
      <c r="E582" s="2"/>
      <c r="G582" s="3"/>
      <c r="H582" s="3"/>
      <c r="I582" s="3"/>
      <c r="J582" s="3"/>
      <c r="K582" s="3"/>
      <c r="L582" s="3"/>
      <c r="N582" s="10"/>
      <c r="O582" s="3"/>
      <c r="P582" s="3"/>
      <c r="Q582" s="3"/>
    </row>
    <row r="583" spans="5:17" x14ac:dyDescent="0.25">
      <c r="E583" s="2"/>
      <c r="G583" s="3"/>
      <c r="H583" s="3"/>
      <c r="I583" s="3"/>
      <c r="J583" s="3"/>
      <c r="K583" s="3"/>
      <c r="L583" s="3"/>
      <c r="N583" s="10"/>
      <c r="O583" s="3"/>
      <c r="P583" s="3"/>
      <c r="Q583" s="3"/>
    </row>
    <row r="584" spans="5:17" x14ac:dyDescent="0.25">
      <c r="E584" s="2"/>
      <c r="G584" s="3"/>
      <c r="H584" s="3"/>
      <c r="I584" s="3"/>
      <c r="J584" s="3"/>
      <c r="K584" s="3"/>
      <c r="L584" s="3"/>
      <c r="N584" s="10"/>
      <c r="O584" s="3"/>
      <c r="P584" s="3"/>
      <c r="Q584" s="3"/>
    </row>
    <row r="585" spans="5:17" x14ac:dyDescent="0.25">
      <c r="E585" s="2"/>
      <c r="G585" s="3"/>
      <c r="H585" s="3"/>
      <c r="I585" s="3"/>
      <c r="J585" s="3"/>
      <c r="K585" s="3"/>
      <c r="L585" s="3"/>
      <c r="N585" s="10"/>
      <c r="O585" s="3"/>
      <c r="P585" s="3"/>
      <c r="Q585" s="3"/>
    </row>
    <row r="586" spans="5:17" x14ac:dyDescent="0.25">
      <c r="E586" s="2"/>
      <c r="G586" s="3"/>
      <c r="H586" s="3"/>
      <c r="I586" s="3"/>
      <c r="J586" s="3"/>
      <c r="K586" s="3"/>
      <c r="L586" s="3"/>
      <c r="N586" s="10"/>
      <c r="O586" s="3"/>
      <c r="P586" s="3"/>
      <c r="Q586" s="3"/>
    </row>
    <row r="587" spans="5:17" x14ac:dyDescent="0.25">
      <c r="E587" s="2"/>
      <c r="G587" s="3"/>
      <c r="H587" s="3"/>
      <c r="I587" s="3"/>
      <c r="J587" s="3"/>
      <c r="K587" s="3"/>
      <c r="L587" s="3"/>
      <c r="N587" s="10"/>
      <c r="O587" s="3"/>
      <c r="P587" s="3"/>
      <c r="Q587" s="3"/>
    </row>
    <row r="588" spans="5:17" x14ac:dyDescent="0.25">
      <c r="E588" s="2"/>
      <c r="G588" s="3"/>
      <c r="H588" s="3"/>
      <c r="I588" s="3"/>
      <c r="J588" s="3"/>
      <c r="K588" s="3"/>
      <c r="L588" s="3"/>
      <c r="N588" s="10"/>
      <c r="O588" s="3"/>
      <c r="P588" s="3"/>
      <c r="Q588" s="3"/>
    </row>
    <row r="589" spans="5:17" x14ac:dyDescent="0.25">
      <c r="E589" s="2"/>
      <c r="G589" s="3"/>
      <c r="H589" s="3"/>
      <c r="I589" s="3"/>
      <c r="J589" s="3"/>
      <c r="K589" s="3"/>
      <c r="L589" s="3"/>
      <c r="N589" s="10"/>
      <c r="O589" s="3"/>
      <c r="P589" s="3"/>
      <c r="Q589" s="3"/>
    </row>
    <row r="590" spans="5:17" x14ac:dyDescent="0.25">
      <c r="E590" s="2"/>
      <c r="G590" s="3"/>
      <c r="H590" s="3"/>
      <c r="I590" s="3"/>
      <c r="J590" s="3"/>
      <c r="K590" s="3"/>
      <c r="L590" s="3"/>
      <c r="N590" s="10"/>
      <c r="O590" s="3"/>
      <c r="P590" s="3"/>
      <c r="Q590" s="3"/>
    </row>
    <row r="591" spans="5:17" x14ac:dyDescent="0.25">
      <c r="E591" s="2"/>
      <c r="G591" s="3"/>
      <c r="H591" s="3"/>
      <c r="I591" s="3"/>
      <c r="J591" s="3"/>
      <c r="K591" s="3"/>
      <c r="L591" s="3"/>
      <c r="N591" s="10"/>
      <c r="O591" s="3"/>
      <c r="P591" s="3"/>
      <c r="Q591" s="3"/>
    </row>
    <row r="592" spans="5:17" x14ac:dyDescent="0.25">
      <c r="E592" s="2"/>
      <c r="G592" s="3"/>
      <c r="H592" s="3"/>
      <c r="I592" s="3"/>
      <c r="J592" s="3"/>
      <c r="K592" s="3"/>
      <c r="L592" s="3"/>
      <c r="N592" s="10"/>
      <c r="O592" s="3"/>
      <c r="P592" s="3"/>
      <c r="Q592" s="3"/>
    </row>
    <row r="593" spans="5:17" x14ac:dyDescent="0.25">
      <c r="E593" s="2"/>
      <c r="G593" s="3"/>
      <c r="H593" s="3"/>
      <c r="I593" s="3"/>
      <c r="J593" s="3"/>
      <c r="K593" s="3"/>
      <c r="L593" s="3"/>
      <c r="N593" s="10"/>
      <c r="O593" s="3"/>
      <c r="P593" s="3"/>
      <c r="Q593" s="3"/>
    </row>
    <row r="594" spans="5:17" x14ac:dyDescent="0.25">
      <c r="E594" s="2"/>
      <c r="G594" s="3"/>
      <c r="H594" s="3"/>
      <c r="I594" s="3"/>
      <c r="J594" s="3"/>
      <c r="K594" s="3"/>
      <c r="L594" s="3"/>
      <c r="N594" s="10"/>
      <c r="O594" s="3"/>
      <c r="P594" s="3"/>
      <c r="Q594" s="3"/>
    </row>
    <row r="595" spans="5:17" x14ac:dyDescent="0.25">
      <c r="E595" s="2"/>
      <c r="G595" s="3"/>
      <c r="H595" s="3"/>
      <c r="I595" s="3"/>
      <c r="J595" s="3"/>
      <c r="K595" s="3"/>
      <c r="L595" s="3"/>
      <c r="N595" s="10"/>
      <c r="O595" s="3"/>
      <c r="P595" s="3"/>
      <c r="Q595" s="3"/>
    </row>
    <row r="596" spans="5:17" x14ac:dyDescent="0.25">
      <c r="E596" s="2"/>
      <c r="G596" s="3"/>
      <c r="H596" s="3"/>
      <c r="I596" s="3"/>
      <c r="J596" s="3"/>
      <c r="K596" s="3"/>
      <c r="L596" s="3"/>
      <c r="N596" s="10"/>
      <c r="O596" s="3"/>
      <c r="P596" s="3"/>
      <c r="Q596" s="3"/>
    </row>
    <row r="597" spans="5:17" x14ac:dyDescent="0.25">
      <c r="E597" s="2"/>
      <c r="G597" s="3"/>
      <c r="H597" s="3"/>
      <c r="I597" s="3"/>
      <c r="J597" s="3"/>
      <c r="K597" s="3"/>
      <c r="L597" s="3"/>
      <c r="N597" s="10"/>
      <c r="O597" s="3"/>
      <c r="P597" s="3"/>
      <c r="Q597" s="3"/>
    </row>
    <row r="598" spans="5:17" x14ac:dyDescent="0.25">
      <c r="E598" s="2"/>
      <c r="G598" s="3"/>
      <c r="H598" s="3"/>
      <c r="I598" s="3"/>
      <c r="J598" s="3"/>
      <c r="K598" s="3"/>
      <c r="L598" s="3"/>
      <c r="N598" s="10"/>
      <c r="O598" s="3"/>
      <c r="P598" s="3"/>
      <c r="Q598" s="3"/>
    </row>
    <row r="599" spans="5:17" x14ac:dyDescent="0.25">
      <c r="E599" s="2"/>
      <c r="G599" s="3"/>
      <c r="H599" s="3"/>
      <c r="I599" s="3"/>
      <c r="J599" s="3"/>
      <c r="K599" s="3"/>
      <c r="L599" s="3"/>
      <c r="N599" s="10"/>
      <c r="O599" s="3"/>
      <c r="P599" s="3"/>
      <c r="Q599" s="3"/>
    </row>
    <row r="600" spans="5:17" x14ac:dyDescent="0.25">
      <c r="E600" s="2"/>
      <c r="G600" s="3"/>
      <c r="H600" s="3"/>
      <c r="I600" s="3"/>
      <c r="J600" s="3"/>
      <c r="K600" s="3"/>
      <c r="L600" s="3"/>
      <c r="N600" s="10"/>
      <c r="O600" s="3"/>
      <c r="P600" s="3"/>
      <c r="Q600" s="3"/>
    </row>
    <row r="601" spans="5:17" x14ac:dyDescent="0.25">
      <c r="E601" s="2"/>
      <c r="G601" s="3"/>
      <c r="H601" s="3"/>
      <c r="I601" s="3"/>
      <c r="J601" s="3"/>
      <c r="K601" s="3"/>
      <c r="L601" s="3"/>
      <c r="N601" s="10"/>
      <c r="O601" s="3"/>
      <c r="P601" s="3"/>
      <c r="Q601" s="3"/>
    </row>
    <row r="602" spans="5:17" x14ac:dyDescent="0.25">
      <c r="E602" s="2"/>
      <c r="G602" s="3"/>
      <c r="H602" s="3"/>
      <c r="I602" s="3"/>
      <c r="J602" s="3"/>
      <c r="K602" s="3"/>
      <c r="L602" s="3"/>
      <c r="N602" s="10"/>
      <c r="O602" s="3"/>
      <c r="P602" s="3"/>
      <c r="Q602" s="3"/>
    </row>
    <row r="603" spans="5:17" x14ac:dyDescent="0.25">
      <c r="E603" s="2"/>
      <c r="G603" s="3"/>
      <c r="H603" s="3"/>
      <c r="I603" s="3"/>
      <c r="J603" s="3"/>
      <c r="K603" s="3"/>
      <c r="L603" s="3"/>
      <c r="N603" s="10"/>
      <c r="O603" s="3"/>
      <c r="P603" s="3"/>
      <c r="Q603" s="3"/>
    </row>
    <row r="604" spans="5:17" x14ac:dyDescent="0.25">
      <c r="E604" s="2"/>
      <c r="G604" s="3"/>
      <c r="H604" s="3"/>
      <c r="I604" s="3"/>
      <c r="J604" s="3"/>
      <c r="K604" s="3"/>
      <c r="L604" s="3"/>
      <c r="N604" s="10"/>
      <c r="O604" s="3"/>
      <c r="P604" s="3"/>
      <c r="Q604" s="3"/>
    </row>
    <row r="605" spans="5:17" x14ac:dyDescent="0.25">
      <c r="E605" s="2"/>
      <c r="G605" s="3"/>
      <c r="H605" s="3"/>
      <c r="I605" s="3"/>
      <c r="J605" s="3"/>
      <c r="K605" s="3"/>
      <c r="L605" s="3"/>
      <c r="N605" s="10"/>
      <c r="O605" s="3"/>
      <c r="P605" s="3"/>
      <c r="Q605" s="3"/>
    </row>
    <row r="606" spans="5:17" x14ac:dyDescent="0.25">
      <c r="E606" s="2"/>
      <c r="G606" s="3"/>
      <c r="H606" s="3"/>
      <c r="I606" s="3"/>
      <c r="J606" s="3"/>
      <c r="K606" s="3"/>
      <c r="L606" s="3"/>
      <c r="N606" s="10"/>
      <c r="O606" s="3"/>
      <c r="P606" s="3"/>
      <c r="Q606" s="3"/>
    </row>
    <row r="607" spans="5:17" x14ac:dyDescent="0.25">
      <c r="E607" s="2"/>
      <c r="G607" s="3"/>
      <c r="H607" s="3"/>
      <c r="I607" s="3"/>
      <c r="J607" s="3"/>
      <c r="K607" s="3"/>
      <c r="L607" s="3"/>
      <c r="N607" s="10"/>
      <c r="O607" s="3"/>
      <c r="P607" s="3"/>
      <c r="Q607" s="3"/>
    </row>
    <row r="608" spans="5:17" x14ac:dyDescent="0.25">
      <c r="E608" s="2"/>
      <c r="G608" s="3"/>
      <c r="H608" s="3"/>
      <c r="I608" s="3"/>
      <c r="J608" s="3"/>
      <c r="K608" s="3"/>
      <c r="L608" s="3"/>
      <c r="N608" s="10"/>
      <c r="O608" s="3"/>
      <c r="P608" s="3"/>
      <c r="Q608" s="3"/>
    </row>
    <row r="609" spans="5:17" x14ac:dyDescent="0.25">
      <c r="E609" s="2"/>
      <c r="G609" s="3"/>
      <c r="H609" s="3"/>
      <c r="I609" s="3"/>
      <c r="J609" s="3"/>
      <c r="K609" s="3"/>
      <c r="L609" s="3"/>
      <c r="N609" s="10"/>
      <c r="O609" s="3"/>
      <c r="P609" s="3"/>
      <c r="Q609" s="3"/>
    </row>
    <row r="610" spans="5:17" x14ac:dyDescent="0.25">
      <c r="E610" s="2"/>
      <c r="G610" s="3"/>
      <c r="H610" s="3"/>
      <c r="I610" s="3"/>
      <c r="J610" s="3"/>
      <c r="K610" s="3"/>
      <c r="L610" s="3"/>
      <c r="N610" s="10"/>
      <c r="O610" s="3"/>
      <c r="P610" s="3"/>
      <c r="Q610" s="3"/>
    </row>
    <row r="611" spans="5:17" x14ac:dyDescent="0.25">
      <c r="E611" s="2"/>
      <c r="G611" s="3"/>
      <c r="H611" s="3"/>
      <c r="I611" s="3"/>
      <c r="J611" s="3"/>
      <c r="K611" s="3"/>
      <c r="L611" s="3"/>
      <c r="N611" s="10"/>
      <c r="O611" s="3"/>
      <c r="P611" s="3"/>
      <c r="Q611" s="3"/>
    </row>
    <row r="612" spans="5:17" x14ac:dyDescent="0.25">
      <c r="E612" s="2"/>
      <c r="G612" s="3"/>
      <c r="H612" s="3"/>
      <c r="I612" s="3"/>
      <c r="J612" s="3"/>
      <c r="K612" s="3"/>
      <c r="L612" s="3"/>
      <c r="N612" s="10"/>
      <c r="O612" s="3"/>
      <c r="P612" s="3"/>
      <c r="Q612" s="3"/>
    </row>
    <row r="613" spans="5:17" x14ac:dyDescent="0.25">
      <c r="E613" s="2"/>
      <c r="G613" s="3"/>
      <c r="H613" s="3"/>
      <c r="I613" s="3"/>
      <c r="J613" s="3"/>
      <c r="K613" s="3"/>
      <c r="L613" s="3"/>
      <c r="N613" s="10"/>
      <c r="O613" s="3"/>
      <c r="P613" s="3"/>
      <c r="Q613" s="3"/>
    </row>
    <row r="614" spans="5:17" x14ac:dyDescent="0.25">
      <c r="E614" s="2"/>
      <c r="G614" s="3"/>
      <c r="H614" s="3"/>
      <c r="I614" s="3"/>
      <c r="J614" s="3"/>
      <c r="K614" s="3"/>
      <c r="L614" s="3"/>
      <c r="N614" s="10"/>
      <c r="O614" s="3"/>
      <c r="P614" s="3"/>
      <c r="Q614" s="3"/>
    </row>
    <row r="615" spans="5:17" x14ac:dyDescent="0.25">
      <c r="E615" s="2"/>
      <c r="G615" s="3"/>
      <c r="H615" s="3"/>
      <c r="I615" s="3"/>
      <c r="J615" s="3"/>
      <c r="K615" s="3"/>
      <c r="L615" s="3"/>
      <c r="N615" s="10"/>
      <c r="O615" s="3"/>
      <c r="P615" s="3"/>
      <c r="Q615" s="3"/>
    </row>
    <row r="616" spans="5:17" x14ac:dyDescent="0.25">
      <c r="E616" s="2"/>
      <c r="G616" s="3"/>
      <c r="H616" s="3"/>
      <c r="I616" s="3"/>
      <c r="J616" s="3"/>
      <c r="K616" s="3"/>
      <c r="L616" s="3"/>
      <c r="N616" s="10"/>
      <c r="O616" s="3"/>
      <c r="P616" s="3"/>
      <c r="Q616" s="3"/>
    </row>
    <row r="617" spans="5:17" x14ac:dyDescent="0.25">
      <c r="E617" s="2"/>
      <c r="G617" s="3"/>
      <c r="H617" s="3"/>
      <c r="I617" s="3"/>
      <c r="J617" s="3"/>
      <c r="K617" s="3"/>
      <c r="L617" s="3"/>
      <c r="N617" s="10"/>
      <c r="O617" s="3"/>
      <c r="P617" s="3"/>
      <c r="Q617" s="3"/>
    </row>
    <row r="618" spans="5:17" x14ac:dyDescent="0.25">
      <c r="E618" s="2"/>
      <c r="G618" s="3"/>
      <c r="H618" s="3"/>
      <c r="I618" s="3"/>
      <c r="J618" s="3"/>
      <c r="K618" s="3"/>
      <c r="L618" s="3"/>
      <c r="N618" s="10"/>
      <c r="O618" s="3"/>
      <c r="P618" s="3"/>
      <c r="Q618" s="3"/>
    </row>
    <row r="619" spans="5:17" x14ac:dyDescent="0.25">
      <c r="E619" s="2"/>
      <c r="G619" s="3"/>
      <c r="H619" s="3"/>
      <c r="I619" s="3"/>
      <c r="J619" s="3"/>
      <c r="K619" s="3"/>
      <c r="L619" s="3"/>
      <c r="N619" s="10"/>
      <c r="O619" s="3"/>
      <c r="P619" s="3"/>
      <c r="Q619" s="3"/>
    </row>
    <row r="620" spans="5:17" x14ac:dyDescent="0.25">
      <c r="E620" s="2"/>
      <c r="G620" s="3"/>
      <c r="H620" s="3"/>
      <c r="I620" s="3"/>
      <c r="J620" s="3"/>
      <c r="K620" s="3"/>
      <c r="L620" s="3"/>
      <c r="N620" s="10"/>
      <c r="O620" s="3"/>
      <c r="P620" s="3"/>
      <c r="Q620" s="3"/>
    </row>
    <row r="621" spans="5:17" x14ac:dyDescent="0.25">
      <c r="E621" s="2"/>
      <c r="G621" s="3"/>
      <c r="H621" s="3"/>
      <c r="I621" s="3"/>
      <c r="J621" s="3"/>
      <c r="K621" s="3"/>
      <c r="L621" s="3"/>
      <c r="N621" s="10"/>
      <c r="O621" s="3"/>
      <c r="P621" s="3"/>
      <c r="Q621" s="3"/>
    </row>
    <row r="622" spans="5:17" x14ac:dyDescent="0.25">
      <c r="E622" s="2"/>
      <c r="G622" s="3"/>
      <c r="H622" s="3"/>
      <c r="I622" s="3"/>
      <c r="J622" s="3"/>
      <c r="K622" s="3"/>
      <c r="L622" s="3"/>
      <c r="N622" s="10"/>
      <c r="O622" s="3"/>
      <c r="P622" s="3"/>
      <c r="Q622" s="3"/>
    </row>
    <row r="623" spans="5:17" x14ac:dyDescent="0.25">
      <c r="E623" s="2"/>
      <c r="G623" s="3"/>
      <c r="H623" s="3"/>
      <c r="I623" s="3"/>
      <c r="J623" s="3"/>
      <c r="K623" s="3"/>
      <c r="L623" s="3"/>
      <c r="N623" s="10"/>
      <c r="O623" s="3"/>
      <c r="P623" s="3"/>
      <c r="Q623" s="3"/>
    </row>
    <row r="624" spans="5:17" x14ac:dyDescent="0.25">
      <c r="E624" s="2"/>
      <c r="G624" s="3"/>
      <c r="H624" s="3"/>
      <c r="I624" s="3"/>
      <c r="J624" s="3"/>
      <c r="K624" s="3"/>
      <c r="L624" s="3"/>
      <c r="N624" s="10"/>
      <c r="O624" s="3"/>
      <c r="P624" s="3"/>
      <c r="Q624" s="3"/>
    </row>
    <row r="625" spans="5:17" x14ac:dyDescent="0.25">
      <c r="E625" s="2"/>
      <c r="G625" s="3"/>
      <c r="H625" s="3"/>
      <c r="I625" s="3"/>
      <c r="J625" s="3"/>
      <c r="K625" s="3"/>
      <c r="L625" s="3"/>
      <c r="N625" s="10"/>
      <c r="O625" s="3"/>
      <c r="P625" s="3"/>
      <c r="Q625" s="3"/>
    </row>
    <row r="626" spans="5:17" x14ac:dyDescent="0.25">
      <c r="E626" s="2"/>
      <c r="G626" s="3"/>
      <c r="H626" s="3"/>
      <c r="I626" s="3"/>
      <c r="J626" s="3"/>
      <c r="K626" s="3"/>
      <c r="L626" s="3"/>
      <c r="N626" s="10"/>
      <c r="O626" s="3"/>
      <c r="P626" s="3"/>
      <c r="Q626" s="3"/>
    </row>
    <row r="627" spans="5:17" x14ac:dyDescent="0.25">
      <c r="E627" s="2"/>
      <c r="G627" s="3"/>
      <c r="H627" s="3"/>
      <c r="I627" s="3"/>
      <c r="J627" s="3"/>
      <c r="K627" s="3"/>
      <c r="L627" s="3"/>
      <c r="N627" s="10"/>
      <c r="O627" s="3"/>
      <c r="P627" s="3"/>
      <c r="Q627" s="3"/>
    </row>
    <row r="628" spans="5:17" x14ac:dyDescent="0.25">
      <c r="E628" s="2"/>
      <c r="G628" s="3"/>
      <c r="H628" s="3"/>
      <c r="I628" s="3"/>
      <c r="J628" s="3"/>
      <c r="K628" s="3"/>
      <c r="L628" s="3"/>
      <c r="N628" s="10"/>
      <c r="O628" s="3"/>
      <c r="P628" s="3"/>
      <c r="Q628" s="3"/>
    </row>
    <row r="629" spans="5:17" x14ac:dyDescent="0.25">
      <c r="E629" s="2"/>
      <c r="G629" s="3"/>
      <c r="H629" s="3"/>
      <c r="I629" s="3"/>
      <c r="J629" s="3"/>
      <c r="K629" s="3"/>
      <c r="L629" s="3"/>
      <c r="N629" s="10"/>
      <c r="O629" s="3"/>
      <c r="P629" s="3"/>
      <c r="Q629" s="3"/>
    </row>
    <row r="630" spans="5:17" x14ac:dyDescent="0.25">
      <c r="E630" s="2"/>
      <c r="G630" s="3"/>
      <c r="H630" s="3"/>
      <c r="I630" s="3"/>
      <c r="J630" s="3"/>
      <c r="K630" s="3"/>
      <c r="L630" s="3"/>
      <c r="N630" s="10"/>
      <c r="O630" s="3"/>
      <c r="P630" s="3"/>
      <c r="Q630" s="3"/>
    </row>
    <row r="631" spans="5:17" x14ac:dyDescent="0.25">
      <c r="E631" s="2"/>
      <c r="G631" s="3"/>
      <c r="H631" s="3"/>
      <c r="I631" s="3"/>
      <c r="J631" s="3"/>
      <c r="K631" s="3"/>
      <c r="L631" s="3"/>
      <c r="N631" s="10"/>
      <c r="O631" s="3"/>
      <c r="P631" s="3"/>
      <c r="Q631" s="3"/>
    </row>
    <row r="632" spans="5:17" x14ac:dyDescent="0.25">
      <c r="E632" s="2"/>
      <c r="G632" s="3"/>
      <c r="H632" s="3"/>
      <c r="I632" s="3"/>
      <c r="J632" s="3"/>
      <c r="K632" s="3"/>
      <c r="L632" s="3"/>
      <c r="N632" s="10"/>
      <c r="O632" s="3"/>
      <c r="P632" s="3"/>
      <c r="Q632" s="3"/>
    </row>
    <row r="633" spans="5:17" x14ac:dyDescent="0.25">
      <c r="E633" s="2"/>
      <c r="G633" s="3"/>
      <c r="H633" s="3"/>
      <c r="I633" s="3"/>
      <c r="J633" s="3"/>
      <c r="K633" s="3"/>
      <c r="L633" s="3"/>
      <c r="N633" s="10"/>
      <c r="O633" s="3"/>
      <c r="P633" s="3"/>
      <c r="Q633" s="3"/>
    </row>
    <row r="634" spans="5:17" x14ac:dyDescent="0.25">
      <c r="E634" s="2"/>
      <c r="G634" s="3"/>
      <c r="H634" s="3"/>
      <c r="I634" s="3"/>
      <c r="J634" s="3"/>
      <c r="K634" s="3"/>
      <c r="L634" s="3"/>
      <c r="N634" s="10"/>
      <c r="O634" s="3"/>
      <c r="P634" s="3"/>
      <c r="Q634" s="3"/>
    </row>
    <row r="635" spans="5:17" x14ac:dyDescent="0.25">
      <c r="E635" s="2"/>
      <c r="G635" s="3"/>
      <c r="H635" s="3"/>
      <c r="I635" s="3"/>
      <c r="J635" s="3"/>
      <c r="K635" s="3"/>
      <c r="L635" s="3"/>
      <c r="N635" s="10"/>
      <c r="O635" s="3"/>
      <c r="P635" s="3"/>
      <c r="Q635" s="3"/>
    </row>
    <row r="636" spans="5:17" x14ac:dyDescent="0.25">
      <c r="E636" s="2"/>
      <c r="G636" s="3"/>
      <c r="H636" s="3"/>
      <c r="I636" s="3"/>
      <c r="J636" s="3"/>
      <c r="K636" s="3"/>
      <c r="L636" s="3"/>
      <c r="N636" s="10"/>
      <c r="O636" s="3"/>
      <c r="P636" s="3"/>
      <c r="Q636" s="3"/>
    </row>
    <row r="637" spans="5:17" x14ac:dyDescent="0.25">
      <c r="E637" s="2"/>
      <c r="G637" s="3"/>
      <c r="H637" s="3"/>
      <c r="I637" s="3"/>
      <c r="J637" s="3"/>
      <c r="K637" s="3"/>
      <c r="L637" s="3"/>
      <c r="N637" s="10"/>
      <c r="O637" s="3"/>
      <c r="P637" s="3"/>
      <c r="Q637" s="3"/>
    </row>
    <row r="638" spans="5:17" x14ac:dyDescent="0.25">
      <c r="E638" s="2"/>
      <c r="G638" s="3"/>
      <c r="H638" s="3"/>
      <c r="I638" s="3"/>
      <c r="J638" s="3"/>
      <c r="K638" s="3"/>
      <c r="L638" s="3"/>
      <c r="N638" s="10"/>
      <c r="O638" s="3"/>
      <c r="P638" s="3"/>
      <c r="Q638" s="3"/>
    </row>
    <row r="639" spans="5:17" x14ac:dyDescent="0.25">
      <c r="E639" s="2"/>
      <c r="G639" s="3"/>
      <c r="H639" s="3"/>
      <c r="I639" s="3"/>
      <c r="J639" s="3"/>
      <c r="K639" s="3"/>
      <c r="L639" s="3"/>
      <c r="N639" s="10"/>
      <c r="O639" s="3"/>
      <c r="P639" s="3"/>
      <c r="Q639" s="3"/>
    </row>
    <row r="640" spans="5:17" x14ac:dyDescent="0.25">
      <c r="E640" s="2"/>
      <c r="G640" s="3"/>
      <c r="H640" s="3"/>
      <c r="I640" s="3"/>
      <c r="J640" s="3"/>
      <c r="K640" s="3"/>
      <c r="L640" s="3"/>
      <c r="N640" s="10"/>
      <c r="O640" s="3"/>
      <c r="P640" s="3"/>
      <c r="Q640" s="3"/>
    </row>
    <row r="641" spans="5:17" x14ac:dyDescent="0.25">
      <c r="E641" s="2"/>
      <c r="G641" s="3"/>
      <c r="H641" s="3"/>
      <c r="I641" s="3"/>
      <c r="J641" s="3"/>
      <c r="K641" s="3"/>
      <c r="L641" s="3"/>
      <c r="N641" s="10"/>
      <c r="O641" s="3"/>
      <c r="P641" s="3"/>
      <c r="Q641" s="3"/>
    </row>
    <row r="642" spans="5:17" x14ac:dyDescent="0.25">
      <c r="E642" s="2"/>
      <c r="G642" s="3"/>
      <c r="H642" s="3"/>
      <c r="I642" s="3"/>
      <c r="J642" s="3"/>
      <c r="K642" s="3"/>
      <c r="L642" s="3"/>
      <c r="N642" s="10"/>
      <c r="O642" s="3"/>
      <c r="P642" s="3"/>
      <c r="Q642" s="3"/>
    </row>
    <row r="643" spans="5:17" x14ac:dyDescent="0.25">
      <c r="E643" s="2"/>
      <c r="G643" s="3"/>
      <c r="H643" s="3"/>
      <c r="I643" s="3"/>
      <c r="J643" s="3"/>
      <c r="K643" s="3"/>
      <c r="L643" s="3"/>
      <c r="N643" s="10"/>
      <c r="O643" s="3"/>
      <c r="P643" s="3"/>
      <c r="Q643" s="3"/>
    </row>
    <row r="644" spans="5:17" x14ac:dyDescent="0.25">
      <c r="E644" s="2"/>
      <c r="G644" s="3"/>
      <c r="H644" s="3"/>
      <c r="I644" s="3"/>
      <c r="J644" s="3"/>
      <c r="K644" s="3"/>
      <c r="L644" s="3"/>
      <c r="N644" s="10"/>
      <c r="O644" s="3"/>
      <c r="P644" s="3"/>
      <c r="Q644" s="3"/>
    </row>
    <row r="645" spans="5:17" x14ac:dyDescent="0.25">
      <c r="E645" s="2"/>
      <c r="G645" s="3"/>
      <c r="H645" s="3"/>
      <c r="I645" s="3"/>
      <c r="J645" s="3"/>
      <c r="K645" s="3"/>
      <c r="L645" s="3"/>
      <c r="N645" s="10"/>
      <c r="O645" s="3"/>
      <c r="P645" s="3"/>
      <c r="Q645" s="3"/>
    </row>
    <row r="646" spans="5:17" x14ac:dyDescent="0.25">
      <c r="E646" s="2"/>
      <c r="G646" s="3"/>
      <c r="H646" s="3"/>
      <c r="I646" s="3"/>
      <c r="J646" s="3"/>
      <c r="K646" s="3"/>
      <c r="L646" s="3"/>
      <c r="N646" s="10"/>
      <c r="O646" s="3"/>
      <c r="P646" s="3"/>
      <c r="Q646" s="3"/>
    </row>
    <row r="647" spans="5:17" x14ac:dyDescent="0.25">
      <c r="E647" s="2"/>
      <c r="G647" s="3"/>
      <c r="H647" s="3"/>
      <c r="I647" s="3"/>
      <c r="J647" s="3"/>
      <c r="K647" s="3"/>
      <c r="L647" s="3"/>
      <c r="N647" s="10"/>
      <c r="O647" s="3"/>
      <c r="P647" s="3"/>
      <c r="Q647" s="3"/>
    </row>
    <row r="648" spans="5:17" x14ac:dyDescent="0.25">
      <c r="E648" s="2"/>
      <c r="G648" s="3"/>
      <c r="H648" s="3"/>
      <c r="I648" s="3"/>
      <c r="J648" s="3"/>
      <c r="K648" s="3"/>
      <c r="L648" s="3"/>
      <c r="N648" s="10"/>
      <c r="O648" s="3"/>
      <c r="P648" s="3"/>
      <c r="Q648" s="3"/>
    </row>
    <row r="649" spans="5:17" x14ac:dyDescent="0.25">
      <c r="E649" s="2"/>
      <c r="G649" s="3"/>
      <c r="H649" s="3"/>
      <c r="I649" s="3"/>
      <c r="J649" s="3"/>
      <c r="K649" s="3"/>
      <c r="L649" s="3"/>
      <c r="N649" s="10"/>
      <c r="O649" s="3"/>
      <c r="P649" s="3"/>
      <c r="Q649" s="3"/>
    </row>
    <row r="650" spans="5:17" x14ac:dyDescent="0.25">
      <c r="E650" s="2"/>
      <c r="G650" s="3"/>
      <c r="H650" s="3"/>
      <c r="I650" s="3"/>
      <c r="J650" s="3"/>
      <c r="K650" s="3"/>
      <c r="L650" s="3"/>
      <c r="N650" s="10"/>
      <c r="O650" s="3"/>
      <c r="P650" s="3"/>
      <c r="Q650" s="3"/>
    </row>
    <row r="651" spans="5:17" x14ac:dyDescent="0.25">
      <c r="E651" s="2"/>
      <c r="G651" s="3"/>
      <c r="H651" s="3"/>
      <c r="I651" s="3"/>
      <c r="J651" s="3"/>
      <c r="K651" s="3"/>
      <c r="L651" s="3"/>
      <c r="N651" s="10"/>
      <c r="O651" s="3"/>
      <c r="P651" s="3"/>
      <c r="Q651" s="3"/>
    </row>
    <row r="652" spans="5:17" x14ac:dyDescent="0.25">
      <c r="E652" s="2"/>
      <c r="G652" s="3"/>
      <c r="H652" s="3"/>
      <c r="I652" s="3"/>
      <c r="J652" s="3"/>
      <c r="K652" s="3"/>
      <c r="L652" s="3"/>
      <c r="N652" s="10"/>
      <c r="O652" s="3"/>
      <c r="P652" s="3"/>
      <c r="Q652" s="3"/>
    </row>
    <row r="653" spans="5:17" x14ac:dyDescent="0.25">
      <c r="E653" s="2"/>
      <c r="G653" s="3"/>
      <c r="H653" s="3"/>
      <c r="I653" s="3"/>
      <c r="J653" s="3"/>
      <c r="K653" s="3"/>
      <c r="L653" s="3"/>
      <c r="N653" s="10"/>
      <c r="O653" s="3"/>
      <c r="P653" s="3"/>
      <c r="Q653" s="3"/>
    </row>
    <row r="654" spans="5:17" x14ac:dyDescent="0.25">
      <c r="E654" s="2"/>
      <c r="G654" s="3"/>
      <c r="H654" s="3"/>
      <c r="I654" s="3"/>
      <c r="J654" s="3"/>
      <c r="K654" s="3"/>
      <c r="L654" s="3"/>
      <c r="N654" s="10"/>
      <c r="O654" s="3"/>
      <c r="P654" s="3"/>
      <c r="Q654" s="3"/>
    </row>
    <row r="655" spans="5:17" x14ac:dyDescent="0.25">
      <c r="E655" s="2"/>
      <c r="G655" s="3"/>
      <c r="H655" s="3"/>
      <c r="I655" s="3"/>
      <c r="J655" s="3"/>
      <c r="K655" s="3"/>
      <c r="L655" s="3"/>
      <c r="N655" s="10"/>
      <c r="O655" s="3"/>
      <c r="P655" s="3"/>
      <c r="Q655" s="3"/>
    </row>
    <row r="656" spans="5:17" x14ac:dyDescent="0.25">
      <c r="E656" s="2"/>
      <c r="G656" s="3"/>
      <c r="H656" s="3"/>
      <c r="I656" s="3"/>
      <c r="J656" s="3"/>
      <c r="K656" s="3"/>
      <c r="L656" s="3"/>
      <c r="N656" s="10"/>
      <c r="O656" s="3"/>
      <c r="P656" s="3"/>
      <c r="Q656" s="3"/>
    </row>
    <row r="657" spans="5:17" x14ac:dyDescent="0.25">
      <c r="E657" s="2"/>
      <c r="G657" s="3"/>
      <c r="H657" s="3"/>
      <c r="I657" s="3"/>
      <c r="J657" s="3"/>
      <c r="K657" s="3"/>
      <c r="L657" s="3"/>
      <c r="N657" s="10"/>
      <c r="O657" s="3"/>
      <c r="P657" s="3"/>
      <c r="Q657" s="3"/>
    </row>
    <row r="658" spans="5:17" x14ac:dyDescent="0.25">
      <c r="E658" s="2"/>
      <c r="G658" s="3"/>
      <c r="H658" s="3"/>
      <c r="I658" s="3"/>
      <c r="J658" s="3"/>
      <c r="K658" s="3"/>
      <c r="L658" s="3"/>
      <c r="N658" s="10"/>
      <c r="O658" s="3"/>
      <c r="P658" s="3"/>
      <c r="Q658" s="3"/>
    </row>
    <row r="659" spans="5:17" x14ac:dyDescent="0.25">
      <c r="E659" s="2"/>
      <c r="G659" s="3"/>
      <c r="H659" s="3"/>
      <c r="I659" s="3"/>
      <c r="J659" s="3"/>
      <c r="K659" s="3"/>
      <c r="L659" s="3"/>
      <c r="N659" s="10"/>
      <c r="O659" s="3"/>
      <c r="P659" s="3"/>
      <c r="Q659" s="3"/>
    </row>
    <row r="660" spans="5:17" x14ac:dyDescent="0.25">
      <c r="E660" s="2"/>
      <c r="G660" s="3"/>
      <c r="H660" s="3"/>
      <c r="I660" s="3"/>
      <c r="J660" s="3"/>
      <c r="K660" s="3"/>
      <c r="L660" s="3"/>
      <c r="N660" s="10"/>
      <c r="O660" s="3"/>
      <c r="P660" s="3"/>
      <c r="Q660" s="3"/>
    </row>
    <row r="661" spans="5:17" x14ac:dyDescent="0.25">
      <c r="E661" s="2"/>
      <c r="G661" s="3"/>
      <c r="H661" s="3"/>
      <c r="I661" s="3"/>
      <c r="J661" s="3"/>
      <c r="K661" s="3"/>
      <c r="L661" s="3"/>
      <c r="N661" s="10"/>
      <c r="O661" s="3"/>
      <c r="P661" s="3"/>
      <c r="Q661" s="3"/>
    </row>
    <row r="662" spans="5:17" x14ac:dyDescent="0.25">
      <c r="E662" s="2"/>
      <c r="G662" s="3"/>
      <c r="H662" s="3"/>
      <c r="I662" s="3"/>
      <c r="J662" s="3"/>
      <c r="K662" s="3"/>
      <c r="L662" s="3"/>
      <c r="N662" s="10"/>
      <c r="O662" s="3"/>
      <c r="P662" s="3"/>
      <c r="Q662" s="3"/>
    </row>
    <row r="663" spans="5:17" x14ac:dyDescent="0.25">
      <c r="E663" s="2"/>
      <c r="G663" s="3"/>
      <c r="H663" s="3"/>
      <c r="I663" s="3"/>
      <c r="J663" s="3"/>
      <c r="K663" s="3"/>
      <c r="L663" s="3"/>
      <c r="N663" s="10"/>
      <c r="O663" s="3"/>
      <c r="P663" s="3"/>
      <c r="Q663" s="3"/>
    </row>
    <row r="664" spans="5:17" x14ac:dyDescent="0.25">
      <c r="E664" s="2"/>
      <c r="G664" s="3"/>
      <c r="H664" s="3"/>
      <c r="I664" s="3"/>
      <c r="J664" s="3"/>
      <c r="K664" s="3"/>
      <c r="L664" s="3"/>
      <c r="N664" s="10"/>
      <c r="O664" s="3"/>
      <c r="P664" s="3"/>
      <c r="Q664" s="3"/>
    </row>
    <row r="665" spans="5:17" x14ac:dyDescent="0.25">
      <c r="E665" s="2"/>
      <c r="G665" s="3"/>
      <c r="H665" s="3"/>
      <c r="I665" s="3"/>
      <c r="J665" s="3"/>
      <c r="K665" s="3"/>
      <c r="L665" s="3"/>
      <c r="N665" s="10"/>
      <c r="O665" s="3"/>
      <c r="P665" s="3"/>
      <c r="Q665" s="3"/>
    </row>
    <row r="666" spans="5:17" x14ac:dyDescent="0.25">
      <c r="E666" s="2"/>
      <c r="G666" s="3"/>
      <c r="H666" s="3"/>
      <c r="I666" s="3"/>
      <c r="J666" s="3"/>
      <c r="K666" s="3"/>
      <c r="L666" s="3"/>
      <c r="N666" s="10"/>
      <c r="O666" s="3"/>
      <c r="P666" s="3"/>
      <c r="Q666" s="3"/>
    </row>
    <row r="667" spans="5:17" x14ac:dyDescent="0.25">
      <c r="E667" s="2"/>
      <c r="G667" s="3"/>
      <c r="H667" s="3"/>
      <c r="I667" s="3"/>
      <c r="J667" s="3"/>
      <c r="K667" s="3"/>
      <c r="L667" s="3"/>
      <c r="N667" s="10"/>
      <c r="O667" s="3"/>
      <c r="P667" s="3"/>
      <c r="Q667" s="3"/>
    </row>
    <row r="668" spans="5:17" x14ac:dyDescent="0.25">
      <c r="E668" s="2"/>
      <c r="G668" s="3"/>
      <c r="H668" s="3"/>
      <c r="I668" s="3"/>
      <c r="J668" s="3"/>
      <c r="K668" s="3"/>
      <c r="L668" s="3"/>
      <c r="N668" s="10"/>
      <c r="O668" s="3"/>
      <c r="P668" s="3"/>
      <c r="Q668" s="3"/>
    </row>
    <row r="669" spans="5:17" x14ac:dyDescent="0.25">
      <c r="E669" s="2"/>
      <c r="G669" s="3"/>
      <c r="H669" s="3"/>
      <c r="I669" s="3"/>
      <c r="J669" s="3"/>
      <c r="K669" s="3"/>
      <c r="L669" s="3"/>
      <c r="N669" s="10"/>
      <c r="O669" s="3"/>
      <c r="P669" s="3"/>
      <c r="Q669" s="3"/>
    </row>
    <row r="670" spans="5:17" x14ac:dyDescent="0.25">
      <c r="E670" s="2"/>
      <c r="G670" s="3"/>
      <c r="H670" s="3"/>
      <c r="I670" s="3"/>
      <c r="J670" s="3"/>
      <c r="K670" s="3"/>
      <c r="L670" s="3"/>
      <c r="N670" s="10"/>
      <c r="O670" s="3"/>
      <c r="P670" s="3"/>
      <c r="Q670" s="3"/>
    </row>
    <row r="671" spans="5:17" x14ac:dyDescent="0.25">
      <c r="E671" s="2"/>
      <c r="G671" s="3"/>
      <c r="H671" s="3"/>
      <c r="I671" s="3"/>
      <c r="J671" s="3"/>
      <c r="K671" s="3"/>
      <c r="L671" s="3"/>
      <c r="N671" s="10"/>
      <c r="O671" s="3"/>
      <c r="P671" s="3"/>
      <c r="Q671" s="3"/>
    </row>
    <row r="672" spans="5:17" x14ac:dyDescent="0.25">
      <c r="E672" s="2"/>
      <c r="G672" s="3"/>
      <c r="H672" s="3"/>
      <c r="I672" s="3"/>
      <c r="J672" s="3"/>
      <c r="K672" s="3"/>
      <c r="L672" s="3"/>
      <c r="N672" s="10"/>
      <c r="O672" s="3"/>
      <c r="P672" s="3"/>
      <c r="Q672" s="3"/>
    </row>
    <row r="673" spans="5:17" x14ac:dyDescent="0.25">
      <c r="E673" s="2"/>
      <c r="G673" s="3"/>
      <c r="H673" s="3"/>
      <c r="I673" s="3"/>
      <c r="J673" s="3"/>
      <c r="K673" s="3"/>
      <c r="L673" s="3"/>
      <c r="N673" s="10"/>
      <c r="O673" s="3"/>
      <c r="P673" s="3"/>
      <c r="Q673" s="3"/>
    </row>
    <row r="674" spans="5:17" x14ac:dyDescent="0.25">
      <c r="E674" s="2"/>
      <c r="G674" s="3"/>
      <c r="H674" s="3"/>
      <c r="I674" s="3"/>
      <c r="J674" s="3"/>
      <c r="K674" s="3"/>
      <c r="L674" s="3"/>
      <c r="N674" s="10"/>
      <c r="O674" s="3"/>
      <c r="P674" s="3"/>
      <c r="Q674" s="3"/>
    </row>
    <row r="675" spans="5:17" x14ac:dyDescent="0.25">
      <c r="E675" s="2"/>
      <c r="G675" s="3"/>
      <c r="H675" s="3"/>
      <c r="I675" s="3"/>
      <c r="J675" s="3"/>
      <c r="K675" s="3"/>
      <c r="L675" s="3"/>
      <c r="N675" s="10"/>
      <c r="O675" s="3"/>
      <c r="P675" s="3"/>
      <c r="Q675" s="3"/>
    </row>
    <row r="676" spans="5:17" x14ac:dyDescent="0.25">
      <c r="E676" s="2"/>
      <c r="G676" s="3"/>
      <c r="H676" s="3"/>
      <c r="I676" s="3"/>
      <c r="J676" s="3"/>
      <c r="K676" s="3"/>
      <c r="L676" s="3"/>
      <c r="N676" s="10"/>
      <c r="O676" s="3"/>
      <c r="P676" s="3"/>
      <c r="Q676" s="3"/>
    </row>
    <row r="677" spans="5:17" x14ac:dyDescent="0.25">
      <c r="E677" s="2"/>
      <c r="G677" s="3"/>
      <c r="H677" s="3"/>
      <c r="I677" s="3"/>
      <c r="J677" s="3"/>
      <c r="K677" s="3"/>
      <c r="L677" s="3"/>
      <c r="N677" s="10"/>
      <c r="O677" s="3"/>
      <c r="P677" s="3"/>
      <c r="Q677" s="3"/>
    </row>
    <row r="678" spans="5:17" x14ac:dyDescent="0.25">
      <c r="E678" s="2"/>
      <c r="G678" s="3"/>
      <c r="H678" s="3"/>
      <c r="I678" s="3"/>
      <c r="J678" s="3"/>
      <c r="K678" s="3"/>
      <c r="L678" s="3"/>
      <c r="N678" s="10"/>
      <c r="O678" s="3"/>
      <c r="P678" s="3"/>
      <c r="Q678" s="3"/>
    </row>
    <row r="679" spans="5:17" x14ac:dyDescent="0.25">
      <c r="E679" s="2"/>
      <c r="G679" s="3"/>
      <c r="H679" s="3"/>
      <c r="I679" s="3"/>
      <c r="J679" s="3"/>
      <c r="K679" s="3"/>
      <c r="L679" s="3"/>
      <c r="N679" s="10"/>
      <c r="O679" s="3"/>
      <c r="P679" s="3"/>
      <c r="Q679" s="3"/>
    </row>
    <row r="680" spans="5:17" x14ac:dyDescent="0.25">
      <c r="E680" s="2"/>
      <c r="G680" s="3"/>
      <c r="H680" s="3"/>
      <c r="I680" s="3"/>
      <c r="J680" s="3"/>
      <c r="K680" s="3"/>
      <c r="L680" s="3"/>
      <c r="N680" s="10"/>
      <c r="O680" s="3"/>
      <c r="P680" s="3"/>
      <c r="Q680" s="3"/>
    </row>
    <row r="681" spans="5:17" x14ac:dyDescent="0.25">
      <c r="E681" s="2"/>
      <c r="G681" s="3"/>
      <c r="H681" s="3"/>
      <c r="I681" s="3"/>
      <c r="J681" s="3"/>
      <c r="K681" s="3"/>
      <c r="L681" s="3"/>
      <c r="N681" s="10"/>
      <c r="O681" s="3"/>
      <c r="P681" s="3"/>
      <c r="Q681" s="3"/>
    </row>
    <row r="682" spans="5:17" x14ac:dyDescent="0.25">
      <c r="E682" s="2"/>
      <c r="G682" s="3"/>
      <c r="H682" s="3"/>
      <c r="I682" s="3"/>
      <c r="J682" s="3"/>
      <c r="K682" s="3"/>
      <c r="L682" s="3"/>
      <c r="N682" s="10"/>
      <c r="O682" s="3"/>
      <c r="P682" s="3"/>
      <c r="Q682" s="3"/>
    </row>
    <row r="683" spans="5:17" x14ac:dyDescent="0.25">
      <c r="E683" s="2"/>
      <c r="G683" s="3"/>
      <c r="H683" s="3"/>
      <c r="I683" s="3"/>
      <c r="J683" s="3"/>
      <c r="K683" s="3"/>
      <c r="L683" s="3"/>
      <c r="N683" s="10"/>
      <c r="O683" s="3"/>
      <c r="P683" s="3"/>
      <c r="Q683" s="3"/>
    </row>
    <row r="684" spans="5:17" x14ac:dyDescent="0.25">
      <c r="E684" s="2"/>
      <c r="G684" s="3"/>
      <c r="H684" s="3"/>
      <c r="I684" s="3"/>
      <c r="J684" s="3"/>
      <c r="K684" s="3"/>
      <c r="L684" s="3"/>
      <c r="N684" s="10"/>
      <c r="O684" s="3"/>
      <c r="P684" s="3"/>
      <c r="Q684" s="3"/>
    </row>
    <row r="685" spans="5:17" x14ac:dyDescent="0.25">
      <c r="E685" s="2"/>
      <c r="G685" s="3"/>
      <c r="H685" s="3"/>
      <c r="I685" s="3"/>
      <c r="J685" s="3"/>
      <c r="K685" s="3"/>
      <c r="L685" s="3"/>
      <c r="N685" s="10"/>
      <c r="O685" s="3"/>
      <c r="P685" s="3"/>
      <c r="Q685" s="3"/>
    </row>
    <row r="686" spans="5:17" x14ac:dyDescent="0.25">
      <c r="E686" s="2"/>
      <c r="G686" s="3"/>
      <c r="H686" s="3"/>
      <c r="I686" s="3"/>
      <c r="J686" s="3"/>
      <c r="K686" s="3"/>
      <c r="L686" s="3"/>
      <c r="N686" s="10"/>
      <c r="O686" s="3"/>
      <c r="P686" s="3"/>
      <c r="Q686" s="3"/>
    </row>
    <row r="687" spans="5:17" x14ac:dyDescent="0.25">
      <c r="E687" s="2"/>
      <c r="G687" s="3"/>
      <c r="H687" s="3"/>
      <c r="I687" s="3"/>
      <c r="J687" s="3"/>
      <c r="K687" s="3"/>
      <c r="L687" s="3"/>
      <c r="N687" s="10"/>
      <c r="O687" s="3"/>
      <c r="P687" s="3"/>
      <c r="Q687" s="3"/>
    </row>
    <row r="688" spans="5:17" x14ac:dyDescent="0.25">
      <c r="E688" s="2"/>
      <c r="G688" s="3"/>
      <c r="H688" s="3"/>
      <c r="I688" s="3"/>
      <c r="J688" s="3"/>
      <c r="K688" s="3"/>
      <c r="L688" s="3"/>
      <c r="N688" s="10"/>
      <c r="O688" s="3"/>
      <c r="P688" s="3"/>
      <c r="Q688" s="3"/>
    </row>
    <row r="689" spans="5:17" x14ac:dyDescent="0.25">
      <c r="E689" s="2"/>
      <c r="G689" s="3"/>
      <c r="H689" s="3"/>
      <c r="I689" s="3"/>
      <c r="J689" s="3"/>
      <c r="K689" s="3"/>
      <c r="L689" s="3"/>
      <c r="N689" s="10"/>
      <c r="O689" s="3"/>
      <c r="P689" s="3"/>
      <c r="Q689" s="3"/>
    </row>
    <row r="690" spans="5:17" x14ac:dyDescent="0.25">
      <c r="E690" s="2"/>
      <c r="G690" s="3"/>
      <c r="H690" s="3"/>
      <c r="I690" s="3"/>
      <c r="J690" s="3"/>
      <c r="K690" s="3"/>
      <c r="L690" s="3"/>
      <c r="N690" s="10"/>
      <c r="O690" s="3"/>
      <c r="P690" s="3"/>
      <c r="Q690" s="3"/>
    </row>
    <row r="691" spans="5:17" x14ac:dyDescent="0.25">
      <c r="E691" s="2"/>
      <c r="G691" s="3"/>
      <c r="H691" s="3"/>
      <c r="I691" s="3"/>
      <c r="J691" s="3"/>
      <c r="K691" s="3"/>
      <c r="L691" s="3"/>
      <c r="N691" s="10"/>
      <c r="O691" s="3"/>
      <c r="P691" s="3"/>
      <c r="Q691" s="3"/>
    </row>
    <row r="692" spans="5:17" x14ac:dyDescent="0.25">
      <c r="E692" s="2"/>
      <c r="G692" s="3"/>
      <c r="H692" s="3"/>
      <c r="I692" s="3"/>
      <c r="J692" s="3"/>
      <c r="K692" s="3"/>
      <c r="L692" s="3"/>
      <c r="N692" s="10"/>
      <c r="O692" s="3"/>
      <c r="P692" s="3"/>
      <c r="Q692" s="3"/>
    </row>
    <row r="693" spans="5:17" x14ac:dyDescent="0.25">
      <c r="E693" s="2"/>
      <c r="G693" s="3"/>
      <c r="H693" s="3"/>
      <c r="I693" s="3"/>
      <c r="J693" s="3"/>
      <c r="K693" s="3"/>
      <c r="L693" s="3"/>
      <c r="N693" s="10"/>
      <c r="O693" s="3"/>
      <c r="P693" s="3"/>
      <c r="Q693" s="3"/>
    </row>
    <row r="694" spans="5:17" x14ac:dyDescent="0.25">
      <c r="E694" s="2"/>
      <c r="G694" s="3"/>
      <c r="H694" s="3"/>
      <c r="I694" s="3"/>
      <c r="J694" s="3"/>
      <c r="K694" s="3"/>
      <c r="L694" s="3"/>
      <c r="N694" s="10"/>
      <c r="O694" s="3"/>
      <c r="P694" s="3"/>
      <c r="Q694" s="3"/>
    </row>
    <row r="695" spans="5:17" x14ac:dyDescent="0.25">
      <c r="E695" s="2"/>
      <c r="G695" s="3"/>
      <c r="H695" s="3"/>
      <c r="I695" s="3"/>
      <c r="J695" s="3"/>
      <c r="K695" s="3"/>
      <c r="L695" s="3"/>
      <c r="N695" s="10"/>
      <c r="O695" s="3"/>
      <c r="P695" s="3"/>
      <c r="Q695" s="3"/>
    </row>
    <row r="696" spans="5:17" x14ac:dyDescent="0.25">
      <c r="E696" s="2"/>
      <c r="G696" s="3"/>
      <c r="H696" s="3"/>
      <c r="I696" s="3"/>
      <c r="J696" s="3"/>
      <c r="K696" s="3"/>
      <c r="L696" s="3"/>
      <c r="N696" s="10"/>
      <c r="O696" s="3"/>
      <c r="P696" s="3"/>
      <c r="Q696" s="3"/>
    </row>
    <row r="697" spans="5:17" x14ac:dyDescent="0.25">
      <c r="E697" s="2"/>
      <c r="G697" s="3"/>
      <c r="H697" s="3"/>
      <c r="I697" s="3"/>
      <c r="J697" s="3"/>
      <c r="K697" s="3"/>
      <c r="L697" s="3"/>
      <c r="N697" s="10"/>
      <c r="O697" s="3"/>
      <c r="P697" s="3"/>
      <c r="Q697" s="3"/>
    </row>
    <row r="698" spans="5:17" x14ac:dyDescent="0.25">
      <c r="E698" s="2"/>
      <c r="G698" s="3"/>
      <c r="H698" s="3"/>
      <c r="I698" s="3"/>
      <c r="J698" s="3"/>
      <c r="K698" s="3"/>
      <c r="L698" s="3"/>
      <c r="N698" s="10"/>
      <c r="O698" s="3"/>
      <c r="P698" s="3"/>
      <c r="Q698" s="3"/>
    </row>
    <row r="699" spans="5:17" x14ac:dyDescent="0.25">
      <c r="E699" s="2"/>
      <c r="G699" s="3"/>
      <c r="H699" s="3"/>
      <c r="I699" s="3"/>
      <c r="J699" s="3"/>
      <c r="K699" s="3"/>
      <c r="L699" s="3"/>
      <c r="N699" s="10"/>
      <c r="O699" s="3"/>
      <c r="P699" s="3"/>
      <c r="Q699" s="3"/>
    </row>
    <row r="700" spans="5:17" x14ac:dyDescent="0.25">
      <c r="E700" s="2"/>
      <c r="G700" s="3"/>
      <c r="H700" s="3"/>
      <c r="I700" s="3"/>
      <c r="J700" s="3"/>
      <c r="K700" s="3"/>
      <c r="L700" s="3"/>
      <c r="N700" s="10"/>
      <c r="O700" s="3"/>
      <c r="P700" s="3"/>
      <c r="Q700" s="3"/>
    </row>
    <row r="701" spans="5:17" x14ac:dyDescent="0.25">
      <c r="E701" s="2"/>
      <c r="G701" s="3"/>
      <c r="H701" s="3"/>
      <c r="I701" s="3"/>
      <c r="J701" s="3"/>
      <c r="K701" s="3"/>
      <c r="L701" s="3"/>
      <c r="N701" s="10"/>
      <c r="O701" s="3"/>
      <c r="P701" s="3"/>
      <c r="Q701" s="3"/>
    </row>
    <row r="702" spans="5:17" x14ac:dyDescent="0.25">
      <c r="E702" s="2"/>
      <c r="G702" s="3"/>
      <c r="H702" s="3"/>
      <c r="I702" s="3"/>
      <c r="J702" s="3"/>
      <c r="K702" s="3"/>
      <c r="L702" s="3"/>
      <c r="N702" s="10"/>
      <c r="O702" s="3"/>
      <c r="P702" s="3"/>
      <c r="Q702" s="3"/>
    </row>
    <row r="703" spans="5:17" x14ac:dyDescent="0.25">
      <c r="E703" s="2"/>
      <c r="G703" s="3"/>
      <c r="H703" s="3"/>
      <c r="I703" s="3"/>
      <c r="J703" s="3"/>
      <c r="K703" s="3"/>
      <c r="L703" s="3"/>
      <c r="N703" s="10"/>
      <c r="O703" s="3"/>
      <c r="P703" s="3"/>
      <c r="Q703" s="3"/>
    </row>
    <row r="704" spans="5:17" x14ac:dyDescent="0.25">
      <c r="E704" s="2"/>
      <c r="G704" s="3"/>
      <c r="H704" s="3"/>
      <c r="I704" s="3"/>
      <c r="J704" s="3"/>
      <c r="K704" s="3"/>
      <c r="L704" s="3"/>
      <c r="N704" s="10"/>
      <c r="O704" s="3"/>
      <c r="P704" s="3"/>
      <c r="Q704" s="3"/>
    </row>
    <row r="705" spans="5:17" x14ac:dyDescent="0.25">
      <c r="E705" s="2"/>
      <c r="G705" s="3"/>
      <c r="H705" s="3"/>
      <c r="I705" s="3"/>
      <c r="J705" s="3"/>
      <c r="K705" s="3"/>
      <c r="L705" s="3"/>
      <c r="N705" s="10"/>
      <c r="O705" s="3"/>
      <c r="P705" s="3"/>
      <c r="Q705" s="3"/>
    </row>
    <row r="706" spans="5:17" x14ac:dyDescent="0.25">
      <c r="E706" s="2"/>
      <c r="G706" s="3"/>
      <c r="H706" s="3"/>
      <c r="I706" s="3"/>
      <c r="J706" s="3"/>
      <c r="K706" s="3"/>
      <c r="L706" s="3"/>
      <c r="N706" s="10"/>
      <c r="O706" s="3"/>
      <c r="P706" s="3"/>
      <c r="Q706" s="3"/>
    </row>
    <row r="707" spans="5:17" x14ac:dyDescent="0.25">
      <c r="E707" s="2"/>
      <c r="G707" s="3"/>
      <c r="H707" s="3"/>
      <c r="I707" s="3"/>
      <c r="J707" s="3"/>
      <c r="K707" s="3"/>
      <c r="L707" s="3"/>
      <c r="N707" s="10"/>
      <c r="O707" s="3"/>
      <c r="P707" s="3"/>
      <c r="Q707" s="3"/>
    </row>
    <row r="708" spans="5:17" x14ac:dyDescent="0.25">
      <c r="E708" s="2"/>
      <c r="G708" s="3"/>
      <c r="H708" s="3"/>
      <c r="I708" s="3"/>
      <c r="J708" s="3"/>
      <c r="K708" s="3"/>
      <c r="L708" s="3"/>
      <c r="N708" s="10"/>
      <c r="O708" s="3"/>
      <c r="P708" s="3"/>
      <c r="Q708" s="3"/>
    </row>
    <row r="709" spans="5:17" x14ac:dyDescent="0.25">
      <c r="E709" s="2"/>
      <c r="G709" s="3"/>
      <c r="H709" s="3"/>
      <c r="I709" s="3"/>
      <c r="J709" s="3"/>
      <c r="K709" s="3"/>
      <c r="L709" s="3"/>
      <c r="N709" s="10"/>
      <c r="O709" s="3"/>
      <c r="P709" s="3"/>
      <c r="Q709" s="3"/>
    </row>
    <row r="710" spans="5:17" x14ac:dyDescent="0.25">
      <c r="E710" s="2"/>
      <c r="G710" s="3"/>
      <c r="H710" s="3"/>
      <c r="I710" s="3"/>
      <c r="J710" s="3"/>
      <c r="K710" s="3"/>
      <c r="L710" s="3"/>
      <c r="N710" s="10"/>
      <c r="O710" s="3"/>
      <c r="P710" s="3"/>
      <c r="Q710" s="3"/>
    </row>
    <row r="711" spans="5:17" x14ac:dyDescent="0.25">
      <c r="E711" s="2"/>
      <c r="G711" s="3"/>
      <c r="H711" s="3"/>
      <c r="I711" s="3"/>
      <c r="J711" s="3"/>
      <c r="K711" s="3"/>
      <c r="L711" s="3"/>
      <c r="N711" s="10"/>
      <c r="O711" s="3"/>
      <c r="P711" s="3"/>
      <c r="Q711" s="3"/>
    </row>
    <row r="712" spans="5:17" x14ac:dyDescent="0.25">
      <c r="E712" s="2"/>
      <c r="G712" s="3"/>
      <c r="H712" s="3"/>
      <c r="I712" s="3"/>
      <c r="J712" s="3"/>
      <c r="K712" s="3"/>
      <c r="L712" s="3"/>
      <c r="N712" s="10"/>
      <c r="O712" s="3"/>
      <c r="P712" s="3"/>
      <c r="Q712" s="3"/>
    </row>
    <row r="713" spans="5:17" x14ac:dyDescent="0.25">
      <c r="E713" s="2"/>
      <c r="G713" s="3"/>
      <c r="H713" s="3"/>
      <c r="I713" s="3"/>
      <c r="J713" s="3"/>
      <c r="K713" s="3"/>
      <c r="L713" s="3"/>
      <c r="N713" s="10"/>
      <c r="O713" s="3"/>
      <c r="P713" s="3"/>
      <c r="Q713" s="3"/>
    </row>
    <row r="714" spans="5:17" x14ac:dyDescent="0.25">
      <c r="E714" s="2"/>
      <c r="G714" s="3"/>
      <c r="H714" s="3"/>
      <c r="I714" s="3"/>
      <c r="J714" s="3"/>
      <c r="K714" s="3"/>
      <c r="L714" s="3"/>
      <c r="N714" s="10"/>
      <c r="O714" s="3"/>
      <c r="P714" s="3"/>
      <c r="Q714" s="3"/>
    </row>
    <row r="715" spans="5:17" x14ac:dyDescent="0.25">
      <c r="E715" s="2"/>
      <c r="G715" s="3"/>
      <c r="H715" s="3"/>
      <c r="I715" s="3"/>
      <c r="J715" s="3"/>
      <c r="K715" s="3"/>
      <c r="L715" s="3"/>
      <c r="N715" s="10"/>
      <c r="O715" s="3"/>
      <c r="P715" s="3"/>
      <c r="Q715" s="3"/>
    </row>
    <row r="716" spans="5:17" x14ac:dyDescent="0.25">
      <c r="E716" s="2"/>
      <c r="G716" s="3"/>
      <c r="H716" s="3"/>
      <c r="I716" s="3"/>
      <c r="J716" s="3"/>
      <c r="K716" s="3"/>
      <c r="L716" s="3"/>
      <c r="N716" s="10"/>
      <c r="O716" s="3"/>
      <c r="P716" s="3"/>
      <c r="Q716" s="3"/>
    </row>
    <row r="717" spans="5:17" x14ac:dyDescent="0.25">
      <c r="E717" s="2"/>
      <c r="G717" s="3"/>
      <c r="H717" s="3"/>
      <c r="I717" s="3"/>
      <c r="J717" s="3"/>
      <c r="K717" s="3"/>
      <c r="L717" s="3"/>
      <c r="N717" s="10"/>
      <c r="O717" s="3"/>
      <c r="P717" s="3"/>
      <c r="Q717" s="3"/>
    </row>
    <row r="718" spans="5:17" x14ac:dyDescent="0.25">
      <c r="E718" s="2"/>
      <c r="G718" s="3"/>
      <c r="H718" s="3"/>
      <c r="I718" s="3"/>
      <c r="J718" s="3"/>
      <c r="K718" s="3"/>
      <c r="L718" s="3"/>
      <c r="N718" s="10"/>
      <c r="O718" s="3"/>
      <c r="P718" s="3"/>
      <c r="Q718" s="3"/>
    </row>
    <row r="719" spans="5:17" x14ac:dyDescent="0.25">
      <c r="E719" s="2"/>
      <c r="G719" s="3"/>
      <c r="H719" s="3"/>
      <c r="I719" s="3"/>
      <c r="J719" s="3"/>
      <c r="K719" s="3"/>
      <c r="L719" s="3"/>
      <c r="N719" s="10"/>
      <c r="O719" s="3"/>
      <c r="P719" s="3"/>
      <c r="Q719" s="3"/>
    </row>
    <row r="720" spans="5:17" x14ac:dyDescent="0.25">
      <c r="E720" s="2"/>
      <c r="G720" s="3"/>
      <c r="H720" s="3"/>
      <c r="I720" s="3"/>
      <c r="J720" s="3"/>
      <c r="K720" s="3"/>
      <c r="L720" s="3"/>
      <c r="N720" s="10"/>
      <c r="O720" s="3"/>
      <c r="P720" s="3"/>
      <c r="Q720" s="3"/>
    </row>
    <row r="721" spans="5:17" x14ac:dyDescent="0.25">
      <c r="E721" s="2"/>
      <c r="G721" s="3"/>
      <c r="H721" s="3"/>
      <c r="I721" s="3"/>
      <c r="J721" s="3"/>
      <c r="K721" s="3"/>
      <c r="L721" s="3"/>
      <c r="N721" s="10"/>
      <c r="O721" s="3"/>
      <c r="P721" s="3"/>
      <c r="Q721" s="3"/>
    </row>
    <row r="722" spans="5:17" x14ac:dyDescent="0.25">
      <c r="E722" s="2"/>
      <c r="G722" s="3"/>
      <c r="H722" s="3"/>
      <c r="I722" s="3"/>
      <c r="J722" s="3"/>
      <c r="K722" s="3"/>
      <c r="L722" s="3"/>
      <c r="N722" s="10"/>
      <c r="O722" s="3"/>
      <c r="P722" s="3"/>
      <c r="Q722" s="3"/>
    </row>
    <row r="723" spans="5:17" x14ac:dyDescent="0.25">
      <c r="E723" s="2"/>
      <c r="G723" s="3"/>
      <c r="H723" s="3"/>
      <c r="I723" s="3"/>
      <c r="J723" s="3"/>
      <c r="K723" s="3"/>
      <c r="L723" s="3"/>
      <c r="N723" s="10"/>
      <c r="O723" s="3"/>
      <c r="P723" s="3"/>
      <c r="Q723" s="3"/>
    </row>
    <row r="724" spans="5:17" x14ac:dyDescent="0.25">
      <c r="E724" s="2"/>
      <c r="G724" s="3"/>
      <c r="H724" s="3"/>
      <c r="I724" s="3"/>
      <c r="J724" s="3"/>
      <c r="K724" s="3"/>
      <c r="L724" s="3"/>
      <c r="N724" s="10"/>
      <c r="O724" s="3"/>
      <c r="P724" s="3"/>
      <c r="Q724" s="3"/>
    </row>
    <row r="725" spans="5:17" x14ac:dyDescent="0.25">
      <c r="E725" s="2"/>
      <c r="G725" s="3"/>
      <c r="H725" s="3"/>
      <c r="I725" s="3"/>
      <c r="J725" s="3"/>
      <c r="K725" s="3"/>
      <c r="L725" s="3"/>
      <c r="N725" s="10"/>
      <c r="O725" s="3"/>
      <c r="P725" s="3"/>
      <c r="Q725" s="3"/>
    </row>
    <row r="726" spans="5:17" x14ac:dyDescent="0.25">
      <c r="E726" s="2"/>
      <c r="G726" s="3"/>
      <c r="H726" s="3"/>
      <c r="I726" s="3"/>
      <c r="J726" s="3"/>
      <c r="K726" s="3"/>
      <c r="L726" s="3"/>
      <c r="N726" s="10"/>
      <c r="O726" s="3"/>
      <c r="P726" s="3"/>
      <c r="Q726" s="3"/>
    </row>
    <row r="727" spans="5:17" x14ac:dyDescent="0.25">
      <c r="E727" s="2"/>
      <c r="G727" s="3"/>
      <c r="H727" s="3"/>
      <c r="I727" s="3"/>
      <c r="J727" s="3"/>
      <c r="K727" s="3"/>
      <c r="L727" s="3"/>
      <c r="N727" s="10"/>
      <c r="O727" s="3"/>
      <c r="P727" s="3"/>
      <c r="Q727" s="3"/>
    </row>
    <row r="728" spans="5:17" x14ac:dyDescent="0.25">
      <c r="E728" s="2"/>
      <c r="G728" s="3"/>
      <c r="H728" s="3"/>
      <c r="I728" s="3"/>
      <c r="J728" s="3"/>
      <c r="K728" s="3"/>
      <c r="L728" s="3"/>
      <c r="N728" s="10"/>
      <c r="O728" s="3"/>
      <c r="P728" s="3"/>
      <c r="Q728" s="3"/>
    </row>
    <row r="729" spans="5:17" x14ac:dyDescent="0.25">
      <c r="E729" s="2"/>
      <c r="G729" s="3"/>
      <c r="H729" s="3"/>
      <c r="I729" s="3"/>
      <c r="J729" s="3"/>
      <c r="K729" s="3"/>
      <c r="L729" s="3"/>
      <c r="N729" s="10"/>
      <c r="O729" s="3"/>
      <c r="P729" s="3"/>
      <c r="Q729" s="3"/>
    </row>
    <row r="730" spans="5:17" x14ac:dyDescent="0.25">
      <c r="E730" s="2"/>
      <c r="G730" s="3"/>
      <c r="H730" s="3"/>
      <c r="I730" s="3"/>
      <c r="J730" s="3"/>
      <c r="K730" s="3"/>
      <c r="L730" s="3"/>
      <c r="N730" s="10"/>
      <c r="O730" s="3"/>
      <c r="P730" s="3"/>
      <c r="Q730" s="3"/>
    </row>
    <row r="731" spans="5:17" x14ac:dyDescent="0.25">
      <c r="E731" s="2"/>
      <c r="G731" s="3"/>
      <c r="H731" s="3"/>
      <c r="I731" s="3"/>
      <c r="J731" s="3"/>
      <c r="K731" s="3"/>
      <c r="L731" s="3"/>
      <c r="N731" s="10"/>
      <c r="O731" s="3"/>
      <c r="P731" s="3"/>
      <c r="Q731" s="3"/>
    </row>
    <row r="732" spans="5:17" x14ac:dyDescent="0.25">
      <c r="E732" s="2"/>
      <c r="G732" s="3"/>
      <c r="H732" s="3"/>
      <c r="I732" s="3"/>
      <c r="J732" s="3"/>
      <c r="K732" s="3"/>
      <c r="L732" s="3"/>
      <c r="N732" s="10"/>
      <c r="O732" s="3"/>
      <c r="P732" s="3"/>
      <c r="Q732" s="3"/>
    </row>
    <row r="733" spans="5:17" x14ac:dyDescent="0.25">
      <c r="E733" s="2"/>
      <c r="G733" s="3"/>
      <c r="H733" s="3"/>
      <c r="I733" s="3"/>
      <c r="J733" s="3"/>
      <c r="K733" s="3"/>
      <c r="L733" s="3"/>
      <c r="N733" s="10"/>
      <c r="O733" s="3"/>
      <c r="P733" s="3"/>
      <c r="Q733" s="3"/>
    </row>
    <row r="734" spans="5:17" x14ac:dyDescent="0.25">
      <c r="E734" s="2"/>
      <c r="G734" s="3"/>
      <c r="H734" s="3"/>
      <c r="I734" s="3"/>
      <c r="J734" s="3"/>
      <c r="K734" s="3"/>
      <c r="L734" s="3"/>
      <c r="N734" s="10"/>
      <c r="O734" s="3"/>
      <c r="P734" s="3"/>
      <c r="Q734" s="3"/>
    </row>
    <row r="735" spans="5:17" x14ac:dyDescent="0.25">
      <c r="E735" s="2"/>
      <c r="G735" s="3"/>
      <c r="H735" s="3"/>
      <c r="I735" s="3"/>
      <c r="J735" s="3"/>
      <c r="K735" s="3"/>
      <c r="L735" s="3"/>
      <c r="N735" s="10"/>
      <c r="O735" s="3"/>
      <c r="P735" s="3"/>
      <c r="Q735" s="3"/>
    </row>
    <row r="736" spans="5:17" x14ac:dyDescent="0.25">
      <c r="E736" s="2"/>
      <c r="G736" s="3"/>
      <c r="H736" s="3"/>
      <c r="I736" s="3"/>
      <c r="J736" s="3"/>
      <c r="K736" s="3"/>
      <c r="L736" s="3"/>
      <c r="N736" s="10"/>
      <c r="O736" s="3"/>
      <c r="P736" s="3"/>
      <c r="Q736" s="3"/>
    </row>
    <row r="737" spans="5:17" x14ac:dyDescent="0.25">
      <c r="E737" s="2"/>
      <c r="G737" s="3"/>
      <c r="H737" s="3"/>
      <c r="I737" s="3"/>
      <c r="J737" s="3"/>
      <c r="K737" s="3"/>
      <c r="L737" s="3"/>
      <c r="N737" s="10"/>
      <c r="O737" s="3"/>
      <c r="P737" s="3"/>
      <c r="Q737" s="3"/>
    </row>
    <row r="738" spans="5:17" x14ac:dyDescent="0.25">
      <c r="E738" s="2"/>
      <c r="G738" s="3"/>
      <c r="H738" s="3"/>
      <c r="I738" s="3"/>
      <c r="J738" s="3"/>
      <c r="K738" s="3"/>
      <c r="L738" s="3"/>
      <c r="N738" s="10"/>
      <c r="O738" s="3"/>
      <c r="P738" s="3"/>
      <c r="Q738" s="3"/>
    </row>
    <row r="739" spans="5:17" x14ac:dyDescent="0.25">
      <c r="E739" s="2"/>
      <c r="G739" s="3"/>
      <c r="H739" s="3"/>
      <c r="I739" s="3"/>
      <c r="J739" s="3"/>
      <c r="K739" s="3"/>
      <c r="L739" s="3"/>
      <c r="N739" s="10"/>
      <c r="O739" s="3"/>
      <c r="P739" s="3"/>
      <c r="Q739" s="3"/>
    </row>
    <row r="740" spans="5:17" x14ac:dyDescent="0.25">
      <c r="E740" s="2"/>
      <c r="G740" s="3"/>
      <c r="H740" s="3"/>
      <c r="I740" s="3"/>
      <c r="J740" s="3"/>
      <c r="K740" s="3"/>
      <c r="L740" s="3"/>
      <c r="N740" s="10"/>
      <c r="O740" s="3"/>
      <c r="P740" s="3"/>
      <c r="Q740" s="3"/>
    </row>
    <row r="741" spans="5:17" x14ac:dyDescent="0.25">
      <c r="E741" s="2"/>
      <c r="G741" s="3"/>
      <c r="H741" s="3"/>
      <c r="I741" s="3"/>
      <c r="J741" s="3"/>
      <c r="K741" s="3"/>
      <c r="L741" s="3"/>
      <c r="N741" s="10"/>
      <c r="O741" s="3"/>
      <c r="P741" s="3"/>
      <c r="Q741" s="3"/>
    </row>
    <row r="742" spans="5:17" x14ac:dyDescent="0.25">
      <c r="E742" s="2"/>
      <c r="G742" s="3"/>
      <c r="H742" s="3"/>
      <c r="I742" s="3"/>
      <c r="J742" s="3"/>
      <c r="K742" s="3"/>
      <c r="L742" s="3"/>
      <c r="N742" s="10"/>
      <c r="O742" s="3"/>
      <c r="P742" s="3"/>
      <c r="Q742" s="3"/>
    </row>
    <row r="743" spans="5:17" x14ac:dyDescent="0.25">
      <c r="E743" s="2"/>
      <c r="G743" s="3"/>
      <c r="H743" s="3"/>
      <c r="I743" s="3"/>
      <c r="J743" s="3"/>
      <c r="K743" s="3"/>
      <c r="L743" s="3"/>
      <c r="N743" s="10"/>
      <c r="O743" s="3"/>
      <c r="P743" s="3"/>
      <c r="Q743" s="3"/>
    </row>
    <row r="744" spans="5:17" x14ac:dyDescent="0.25">
      <c r="E744" s="2"/>
      <c r="G744" s="3"/>
      <c r="H744" s="3"/>
      <c r="I744" s="3"/>
      <c r="J744" s="3"/>
      <c r="K744" s="3"/>
      <c r="L744" s="3"/>
      <c r="N744" s="10"/>
      <c r="O744" s="3"/>
      <c r="P744" s="3"/>
      <c r="Q744" s="3"/>
    </row>
    <row r="745" spans="5:17" x14ac:dyDescent="0.25">
      <c r="E745" s="2"/>
      <c r="G745" s="3"/>
      <c r="H745" s="3"/>
      <c r="I745" s="3"/>
      <c r="J745" s="3"/>
      <c r="K745" s="3"/>
      <c r="L745" s="3"/>
      <c r="N745" s="10"/>
      <c r="O745" s="3"/>
      <c r="P745" s="3"/>
      <c r="Q745" s="3"/>
    </row>
    <row r="746" spans="5:17" x14ac:dyDescent="0.25">
      <c r="E746" s="2"/>
      <c r="G746" s="3"/>
      <c r="H746" s="3"/>
      <c r="I746" s="3"/>
      <c r="J746" s="3"/>
      <c r="K746" s="3"/>
      <c r="L746" s="3"/>
      <c r="N746" s="10"/>
      <c r="O746" s="3"/>
      <c r="P746" s="3"/>
      <c r="Q746" s="3"/>
    </row>
    <row r="747" spans="5:17" x14ac:dyDescent="0.25">
      <c r="E747" s="2"/>
      <c r="G747" s="3"/>
      <c r="H747" s="3"/>
      <c r="I747" s="3"/>
      <c r="J747" s="3"/>
      <c r="K747" s="3"/>
      <c r="L747" s="3"/>
      <c r="N747" s="10"/>
      <c r="O747" s="3"/>
      <c r="P747" s="3"/>
      <c r="Q747" s="3"/>
    </row>
    <row r="748" spans="5:17" x14ac:dyDescent="0.25">
      <c r="E748" s="2"/>
      <c r="G748" s="3"/>
      <c r="H748" s="3"/>
      <c r="I748" s="3"/>
      <c r="J748" s="3"/>
      <c r="K748" s="3"/>
      <c r="L748" s="3"/>
      <c r="N748" s="10"/>
      <c r="O748" s="3"/>
      <c r="P748" s="3"/>
      <c r="Q748" s="3"/>
    </row>
    <row r="749" spans="5:17" x14ac:dyDescent="0.25">
      <c r="E749" s="2"/>
      <c r="G749" s="3"/>
      <c r="H749" s="3"/>
      <c r="I749" s="3"/>
      <c r="J749" s="3"/>
      <c r="K749" s="3"/>
      <c r="L749" s="3"/>
      <c r="N749" s="10"/>
      <c r="O749" s="3"/>
      <c r="P749" s="3"/>
      <c r="Q749" s="3"/>
    </row>
    <row r="750" spans="5:17" x14ac:dyDescent="0.25">
      <c r="E750" s="2"/>
      <c r="G750" s="3"/>
      <c r="H750" s="3"/>
      <c r="I750" s="3"/>
      <c r="J750" s="3"/>
      <c r="K750" s="3"/>
      <c r="L750" s="3"/>
      <c r="N750" s="10"/>
      <c r="O750" s="3"/>
      <c r="P750" s="3"/>
      <c r="Q750" s="3"/>
    </row>
    <row r="751" spans="5:17" x14ac:dyDescent="0.25">
      <c r="E751" s="2"/>
      <c r="G751" s="3"/>
      <c r="H751" s="3"/>
      <c r="I751" s="3"/>
      <c r="J751" s="3"/>
      <c r="K751" s="3"/>
      <c r="L751" s="3"/>
      <c r="N751" s="10"/>
      <c r="O751" s="3"/>
      <c r="P751" s="3"/>
      <c r="Q751" s="3"/>
    </row>
    <row r="752" spans="5:17" x14ac:dyDescent="0.25">
      <c r="E752" s="2"/>
      <c r="G752" s="3"/>
      <c r="H752" s="3"/>
      <c r="I752" s="3"/>
      <c r="J752" s="3"/>
      <c r="K752" s="3"/>
      <c r="L752" s="3"/>
      <c r="N752" s="10"/>
      <c r="O752" s="3"/>
      <c r="P752" s="3"/>
      <c r="Q752" s="3"/>
    </row>
    <row r="753" spans="5:17" x14ac:dyDescent="0.25">
      <c r="E753" s="2"/>
      <c r="G753" s="3"/>
      <c r="H753" s="3"/>
      <c r="I753" s="3"/>
      <c r="J753" s="3"/>
      <c r="K753" s="3"/>
      <c r="L753" s="3"/>
      <c r="N753" s="10"/>
      <c r="O753" s="3"/>
      <c r="P753" s="3"/>
      <c r="Q753" s="3"/>
    </row>
    <row r="754" spans="5:17" x14ac:dyDescent="0.25">
      <c r="E754" s="2"/>
      <c r="G754" s="3"/>
      <c r="H754" s="3"/>
      <c r="I754" s="3"/>
      <c r="J754" s="3"/>
      <c r="K754" s="3"/>
      <c r="L754" s="3"/>
      <c r="N754" s="10"/>
      <c r="O754" s="3"/>
      <c r="P754" s="3"/>
      <c r="Q754" s="3"/>
    </row>
    <row r="755" spans="5:17" x14ac:dyDescent="0.25">
      <c r="E755" s="2"/>
      <c r="G755" s="3"/>
      <c r="H755" s="3"/>
      <c r="I755" s="3"/>
      <c r="J755" s="3"/>
      <c r="K755" s="3"/>
      <c r="L755" s="3"/>
      <c r="N755" s="10"/>
      <c r="O755" s="3"/>
      <c r="P755" s="3"/>
      <c r="Q755" s="3"/>
    </row>
    <row r="756" spans="5:17" x14ac:dyDescent="0.25">
      <c r="E756" s="2"/>
      <c r="G756" s="3"/>
      <c r="H756" s="3"/>
      <c r="I756" s="3"/>
      <c r="J756" s="3"/>
      <c r="K756" s="3"/>
      <c r="L756" s="3"/>
      <c r="N756" s="10"/>
      <c r="O756" s="3"/>
      <c r="P756" s="3"/>
      <c r="Q756" s="3"/>
    </row>
    <row r="757" spans="5:17" x14ac:dyDescent="0.25">
      <c r="E757" s="2"/>
      <c r="G757" s="3"/>
      <c r="H757" s="3"/>
      <c r="I757" s="3"/>
      <c r="J757" s="3"/>
      <c r="K757" s="3"/>
      <c r="L757" s="3"/>
      <c r="N757" s="10"/>
      <c r="O757" s="3"/>
      <c r="P757" s="3"/>
      <c r="Q757" s="3"/>
    </row>
    <row r="758" spans="5:17" x14ac:dyDescent="0.25">
      <c r="E758" s="2"/>
      <c r="G758" s="3"/>
      <c r="H758" s="3"/>
      <c r="I758" s="3"/>
      <c r="J758" s="3"/>
      <c r="K758" s="3"/>
      <c r="L758" s="3"/>
      <c r="N758" s="10"/>
      <c r="O758" s="3"/>
      <c r="P758" s="3"/>
      <c r="Q758" s="3"/>
    </row>
    <row r="759" spans="5:17" x14ac:dyDescent="0.25">
      <c r="E759" s="2"/>
      <c r="G759" s="3"/>
      <c r="H759" s="3"/>
      <c r="I759" s="3"/>
      <c r="J759" s="3"/>
      <c r="K759" s="3"/>
      <c r="L759" s="3"/>
      <c r="N759" s="10"/>
      <c r="O759" s="3"/>
      <c r="P759" s="3"/>
      <c r="Q759" s="3"/>
    </row>
    <row r="760" spans="5:17" x14ac:dyDescent="0.25">
      <c r="E760" s="2"/>
      <c r="G760" s="3"/>
      <c r="H760" s="3"/>
      <c r="I760" s="3"/>
      <c r="J760" s="3"/>
      <c r="K760" s="3"/>
      <c r="L760" s="3"/>
      <c r="N760" s="10"/>
      <c r="O760" s="3"/>
      <c r="P760" s="3"/>
      <c r="Q760" s="3"/>
    </row>
    <row r="761" spans="5:17" x14ac:dyDescent="0.25">
      <c r="E761" s="2"/>
      <c r="G761" s="3"/>
      <c r="H761" s="3"/>
      <c r="I761" s="3"/>
      <c r="J761" s="3"/>
      <c r="K761" s="3"/>
      <c r="L761" s="3"/>
      <c r="N761" s="10"/>
      <c r="O761" s="3"/>
      <c r="P761" s="3"/>
      <c r="Q761" s="3"/>
    </row>
    <row r="762" spans="5:17" x14ac:dyDescent="0.25">
      <c r="E762" s="2"/>
      <c r="G762" s="3"/>
      <c r="H762" s="3"/>
      <c r="I762" s="3"/>
      <c r="J762" s="3"/>
      <c r="K762" s="3"/>
      <c r="L762" s="3"/>
      <c r="N762" s="10"/>
      <c r="O762" s="3"/>
      <c r="P762" s="3"/>
      <c r="Q762" s="3"/>
    </row>
    <row r="763" spans="5:17" x14ac:dyDescent="0.25">
      <c r="E763" s="2"/>
      <c r="G763" s="3"/>
      <c r="H763" s="3"/>
      <c r="I763" s="3"/>
      <c r="J763" s="3"/>
      <c r="K763" s="3"/>
      <c r="L763" s="3"/>
      <c r="N763" s="10"/>
      <c r="O763" s="3"/>
      <c r="P763" s="3"/>
      <c r="Q763" s="3"/>
    </row>
    <row r="764" spans="5:17" x14ac:dyDescent="0.25">
      <c r="E764" s="2"/>
      <c r="G764" s="3"/>
      <c r="H764" s="3"/>
      <c r="I764" s="3"/>
      <c r="J764" s="3"/>
      <c r="K764" s="3"/>
      <c r="L764" s="3"/>
      <c r="N764" s="10"/>
      <c r="O764" s="3"/>
      <c r="P764" s="3"/>
      <c r="Q764" s="3"/>
    </row>
    <row r="765" spans="5:17" x14ac:dyDescent="0.25">
      <c r="E765" s="2"/>
      <c r="G765" s="3"/>
      <c r="H765" s="3"/>
      <c r="I765" s="3"/>
      <c r="J765" s="3"/>
      <c r="K765" s="3"/>
      <c r="L765" s="3"/>
      <c r="N765" s="10"/>
      <c r="O765" s="3"/>
      <c r="P765" s="3"/>
      <c r="Q765" s="3"/>
    </row>
    <row r="766" spans="5:17" x14ac:dyDescent="0.25">
      <c r="E766" s="2"/>
      <c r="G766" s="3"/>
      <c r="H766" s="3"/>
      <c r="I766" s="3"/>
      <c r="J766" s="3"/>
      <c r="K766" s="3"/>
      <c r="L766" s="3"/>
      <c r="N766" s="10"/>
      <c r="O766" s="3"/>
      <c r="P766" s="3"/>
      <c r="Q766" s="3"/>
    </row>
    <row r="767" spans="5:17" x14ac:dyDescent="0.25">
      <c r="E767" s="2"/>
      <c r="G767" s="3"/>
      <c r="H767" s="3"/>
      <c r="I767" s="3"/>
      <c r="J767" s="3"/>
      <c r="K767" s="3"/>
      <c r="L767" s="3"/>
      <c r="N767" s="10"/>
      <c r="O767" s="3"/>
      <c r="P767" s="3"/>
      <c r="Q767" s="3"/>
    </row>
    <row r="768" spans="5:17" x14ac:dyDescent="0.25">
      <c r="E768" s="2"/>
      <c r="G768" s="3"/>
      <c r="H768" s="3"/>
      <c r="I768" s="3"/>
      <c r="J768" s="3"/>
      <c r="K768" s="3"/>
      <c r="L768" s="3"/>
      <c r="N768" s="10"/>
      <c r="O768" s="3"/>
      <c r="P768" s="3"/>
      <c r="Q768" s="3"/>
    </row>
    <row r="769" spans="5:17" x14ac:dyDescent="0.25">
      <c r="E769" s="2"/>
      <c r="G769" s="3"/>
      <c r="H769" s="3"/>
      <c r="I769" s="3"/>
      <c r="J769" s="3"/>
      <c r="K769" s="3"/>
      <c r="L769" s="3"/>
      <c r="N769" s="10"/>
      <c r="O769" s="3"/>
      <c r="P769" s="3"/>
      <c r="Q769" s="3"/>
    </row>
    <row r="770" spans="5:17" x14ac:dyDescent="0.25">
      <c r="E770" s="2"/>
      <c r="G770" s="3"/>
      <c r="H770" s="3"/>
      <c r="I770" s="3"/>
      <c r="J770" s="3"/>
      <c r="K770" s="3"/>
      <c r="L770" s="3"/>
      <c r="N770" s="10"/>
      <c r="O770" s="3"/>
      <c r="P770" s="3"/>
      <c r="Q770" s="3"/>
    </row>
    <row r="771" spans="5:17" x14ac:dyDescent="0.25">
      <c r="E771" s="2"/>
      <c r="G771" s="3"/>
      <c r="H771" s="3"/>
      <c r="I771" s="3"/>
      <c r="J771" s="3"/>
      <c r="K771" s="3"/>
      <c r="L771" s="3"/>
      <c r="N771" s="10"/>
      <c r="O771" s="3"/>
      <c r="P771" s="3"/>
      <c r="Q771" s="3"/>
    </row>
    <row r="772" spans="5:17" x14ac:dyDescent="0.25">
      <c r="E772" s="2"/>
      <c r="G772" s="3"/>
      <c r="H772" s="3"/>
      <c r="I772" s="3"/>
      <c r="J772" s="3"/>
      <c r="K772" s="3"/>
      <c r="L772" s="3"/>
      <c r="N772" s="10"/>
      <c r="O772" s="3"/>
      <c r="P772" s="3"/>
      <c r="Q772" s="3"/>
    </row>
    <row r="773" spans="5:17" x14ac:dyDescent="0.25">
      <c r="E773" s="2"/>
      <c r="G773" s="3"/>
      <c r="H773" s="3"/>
      <c r="I773" s="3"/>
      <c r="J773" s="3"/>
      <c r="K773" s="3"/>
      <c r="L773" s="3"/>
      <c r="N773" s="10"/>
      <c r="O773" s="3"/>
      <c r="P773" s="3"/>
      <c r="Q773" s="3"/>
    </row>
    <row r="774" spans="5:17" x14ac:dyDescent="0.25">
      <c r="E774" s="2"/>
      <c r="G774" s="3"/>
      <c r="H774" s="3"/>
      <c r="I774" s="3"/>
      <c r="J774" s="3"/>
      <c r="K774" s="3"/>
      <c r="L774" s="3"/>
      <c r="N774" s="10"/>
      <c r="O774" s="3"/>
      <c r="P774" s="3"/>
      <c r="Q774" s="3"/>
    </row>
    <row r="775" spans="5:17" x14ac:dyDescent="0.25">
      <c r="E775" s="2"/>
      <c r="G775" s="3"/>
      <c r="H775" s="3"/>
      <c r="I775" s="3"/>
      <c r="J775" s="3"/>
      <c r="K775" s="3"/>
      <c r="L775" s="3"/>
      <c r="N775" s="10"/>
      <c r="O775" s="3"/>
      <c r="P775" s="3"/>
      <c r="Q775" s="3"/>
    </row>
    <row r="776" spans="5:17" x14ac:dyDescent="0.25">
      <c r="E776" s="2"/>
      <c r="G776" s="3"/>
      <c r="H776" s="3"/>
      <c r="I776" s="3"/>
      <c r="J776" s="3"/>
      <c r="K776" s="3"/>
      <c r="L776" s="3"/>
      <c r="N776" s="10"/>
      <c r="O776" s="3"/>
      <c r="P776" s="3"/>
      <c r="Q776" s="3"/>
    </row>
    <row r="777" spans="5:17" x14ac:dyDescent="0.25">
      <c r="E777" s="2"/>
      <c r="G777" s="3"/>
      <c r="H777" s="3"/>
      <c r="I777" s="3"/>
      <c r="J777" s="3"/>
      <c r="K777" s="3"/>
      <c r="L777" s="3"/>
      <c r="N777" s="10"/>
      <c r="O777" s="3"/>
      <c r="P777" s="3"/>
      <c r="Q777" s="3"/>
    </row>
    <row r="778" spans="5:17" x14ac:dyDescent="0.25">
      <c r="E778" s="2"/>
      <c r="G778" s="3"/>
      <c r="H778" s="3"/>
      <c r="I778" s="3"/>
      <c r="J778" s="3"/>
      <c r="K778" s="3"/>
      <c r="L778" s="3"/>
      <c r="N778" s="10"/>
      <c r="O778" s="3"/>
      <c r="P778" s="3"/>
      <c r="Q778" s="3"/>
    </row>
    <row r="779" spans="5:17" x14ac:dyDescent="0.25">
      <c r="E779" s="2"/>
      <c r="G779" s="3"/>
      <c r="H779" s="3"/>
      <c r="I779" s="3"/>
      <c r="J779" s="3"/>
      <c r="K779" s="3"/>
      <c r="L779" s="3"/>
      <c r="N779" s="10"/>
      <c r="O779" s="3"/>
      <c r="P779" s="3"/>
      <c r="Q779" s="3"/>
    </row>
    <row r="780" spans="5:17" x14ac:dyDescent="0.25">
      <c r="E780" s="2"/>
      <c r="G780" s="3"/>
      <c r="H780" s="3"/>
      <c r="I780" s="3"/>
      <c r="J780" s="3"/>
      <c r="K780" s="3"/>
      <c r="L780" s="3"/>
      <c r="N780" s="10"/>
      <c r="O780" s="3"/>
      <c r="P780" s="3"/>
      <c r="Q780" s="3"/>
    </row>
    <row r="781" spans="5:17" x14ac:dyDescent="0.25">
      <c r="E781" s="2"/>
      <c r="G781" s="3"/>
      <c r="H781" s="3"/>
      <c r="I781" s="3"/>
      <c r="J781" s="3"/>
      <c r="K781" s="3"/>
      <c r="L781" s="3"/>
      <c r="N781" s="10"/>
      <c r="O781" s="3"/>
      <c r="P781" s="3"/>
      <c r="Q781" s="3"/>
    </row>
    <row r="782" spans="5:17" x14ac:dyDescent="0.25">
      <c r="E782" s="2"/>
      <c r="G782" s="3"/>
      <c r="H782" s="3"/>
      <c r="I782" s="3"/>
      <c r="J782" s="3"/>
      <c r="K782" s="3"/>
      <c r="L782" s="3"/>
      <c r="N782" s="10"/>
      <c r="O782" s="3"/>
      <c r="P782" s="3"/>
      <c r="Q782" s="3"/>
    </row>
    <row r="783" spans="5:17" x14ac:dyDescent="0.25">
      <c r="E783" s="2"/>
      <c r="G783" s="3"/>
      <c r="H783" s="3"/>
      <c r="I783" s="3"/>
      <c r="J783" s="3"/>
      <c r="K783" s="3"/>
      <c r="L783" s="3"/>
      <c r="N783" s="10"/>
      <c r="O783" s="3"/>
      <c r="P783" s="3"/>
      <c r="Q783" s="3"/>
    </row>
    <row r="784" spans="5:17" x14ac:dyDescent="0.25">
      <c r="E784" s="2"/>
      <c r="G784" s="3"/>
      <c r="H784" s="3"/>
      <c r="I784" s="3"/>
      <c r="J784" s="3"/>
      <c r="K784" s="3"/>
      <c r="L784" s="3"/>
      <c r="N784" s="10"/>
      <c r="O784" s="3"/>
      <c r="P784" s="3"/>
      <c r="Q784" s="3"/>
    </row>
    <row r="785" spans="5:17" x14ac:dyDescent="0.25">
      <c r="E785" s="2"/>
      <c r="G785" s="3"/>
      <c r="H785" s="3"/>
      <c r="I785" s="3"/>
      <c r="J785" s="3"/>
      <c r="K785" s="3"/>
      <c r="L785" s="3"/>
      <c r="N785" s="10"/>
      <c r="O785" s="3"/>
      <c r="P785" s="3"/>
      <c r="Q785" s="3"/>
    </row>
    <row r="786" spans="5:17" x14ac:dyDescent="0.25">
      <c r="E786" s="2"/>
      <c r="G786" s="3"/>
      <c r="H786" s="3"/>
      <c r="I786" s="3"/>
      <c r="J786" s="3"/>
      <c r="K786" s="3"/>
      <c r="L786" s="3"/>
      <c r="N786" s="10"/>
      <c r="O786" s="3"/>
      <c r="P786" s="3"/>
      <c r="Q786" s="3"/>
    </row>
    <row r="787" spans="5:17" x14ac:dyDescent="0.25">
      <c r="E787" s="2"/>
      <c r="G787" s="3"/>
      <c r="H787" s="3"/>
      <c r="I787" s="3"/>
      <c r="J787" s="3"/>
      <c r="K787" s="3"/>
      <c r="L787" s="3"/>
      <c r="N787" s="10"/>
      <c r="O787" s="3"/>
      <c r="P787" s="3"/>
      <c r="Q787" s="3"/>
    </row>
    <row r="788" spans="5:17" x14ac:dyDescent="0.25">
      <c r="E788" s="2"/>
      <c r="G788" s="3"/>
      <c r="H788" s="3"/>
      <c r="I788" s="3"/>
      <c r="J788" s="3"/>
      <c r="K788" s="3"/>
      <c r="L788" s="3"/>
      <c r="N788" s="10"/>
      <c r="O788" s="3"/>
      <c r="P788" s="3"/>
      <c r="Q788" s="3"/>
    </row>
    <row r="789" spans="5:17" x14ac:dyDescent="0.25">
      <c r="E789" s="2"/>
      <c r="G789" s="3"/>
      <c r="H789" s="3"/>
      <c r="I789" s="3"/>
      <c r="J789" s="3"/>
      <c r="K789" s="3"/>
      <c r="L789" s="3"/>
      <c r="N789" s="10"/>
      <c r="O789" s="3"/>
      <c r="P789" s="3"/>
      <c r="Q789" s="3"/>
    </row>
    <row r="790" spans="5:17" x14ac:dyDescent="0.25">
      <c r="E790" s="2"/>
      <c r="G790" s="3"/>
      <c r="H790" s="3"/>
      <c r="I790" s="3"/>
      <c r="J790" s="3"/>
      <c r="K790" s="3"/>
      <c r="L790" s="3"/>
      <c r="N790" s="10"/>
      <c r="O790" s="3"/>
      <c r="P790" s="3"/>
      <c r="Q790" s="3"/>
    </row>
    <row r="791" spans="5:17" x14ac:dyDescent="0.25">
      <c r="E791" s="2"/>
      <c r="G791" s="3"/>
      <c r="H791" s="3"/>
      <c r="I791" s="3"/>
      <c r="J791" s="3"/>
      <c r="K791" s="3"/>
      <c r="L791" s="3"/>
      <c r="N791" s="10"/>
      <c r="O791" s="3"/>
      <c r="P791" s="3"/>
      <c r="Q791" s="3"/>
    </row>
    <row r="792" spans="5:17" x14ac:dyDescent="0.25">
      <c r="E792" s="2"/>
      <c r="G792" s="3"/>
      <c r="H792" s="3"/>
      <c r="I792" s="3"/>
      <c r="J792" s="3"/>
      <c r="K792" s="3"/>
      <c r="L792" s="3"/>
      <c r="N792" s="10"/>
      <c r="O792" s="3"/>
      <c r="P792" s="3"/>
      <c r="Q792" s="3"/>
    </row>
    <row r="793" spans="5:17" x14ac:dyDescent="0.25">
      <c r="E793" s="2"/>
      <c r="G793" s="3"/>
      <c r="H793" s="3"/>
      <c r="I793" s="3"/>
      <c r="J793" s="3"/>
      <c r="K793" s="3"/>
      <c r="L793" s="3"/>
      <c r="N793" s="10"/>
      <c r="O793" s="3"/>
      <c r="P793" s="3"/>
      <c r="Q793" s="3"/>
    </row>
    <row r="794" spans="5:17" x14ac:dyDescent="0.25">
      <c r="E794" s="2"/>
      <c r="G794" s="3"/>
      <c r="H794" s="3"/>
      <c r="I794" s="3"/>
      <c r="J794" s="3"/>
      <c r="K794" s="3"/>
      <c r="L794" s="3"/>
      <c r="N794" s="10"/>
      <c r="O794" s="3"/>
      <c r="P794" s="3"/>
      <c r="Q794" s="3"/>
    </row>
    <row r="795" spans="5:17" x14ac:dyDescent="0.25">
      <c r="E795" s="2"/>
      <c r="G795" s="3"/>
      <c r="H795" s="3"/>
      <c r="I795" s="3"/>
      <c r="J795" s="3"/>
      <c r="K795" s="3"/>
      <c r="L795" s="3"/>
      <c r="N795" s="10"/>
      <c r="O795" s="3"/>
      <c r="P795" s="3"/>
      <c r="Q795" s="3"/>
    </row>
    <row r="796" spans="5:17" x14ac:dyDescent="0.25">
      <c r="E796" s="2"/>
      <c r="G796" s="3"/>
      <c r="H796" s="3"/>
      <c r="I796" s="3"/>
      <c r="J796" s="3"/>
      <c r="K796" s="3"/>
      <c r="L796" s="3"/>
      <c r="N796" s="10"/>
      <c r="O796" s="3"/>
      <c r="P796" s="3"/>
      <c r="Q796" s="3"/>
    </row>
    <row r="797" spans="5:17" x14ac:dyDescent="0.25">
      <c r="E797" s="2"/>
      <c r="G797" s="3"/>
      <c r="H797" s="3"/>
      <c r="I797" s="3"/>
      <c r="J797" s="3"/>
      <c r="K797" s="3"/>
      <c r="L797" s="3"/>
      <c r="N797" s="10"/>
      <c r="O797" s="3"/>
      <c r="P797" s="3"/>
      <c r="Q797" s="3"/>
    </row>
    <row r="798" spans="5:17" x14ac:dyDescent="0.25">
      <c r="E798" s="2"/>
      <c r="G798" s="3"/>
      <c r="H798" s="3"/>
      <c r="I798" s="3"/>
      <c r="J798" s="3"/>
      <c r="K798" s="3"/>
      <c r="L798" s="3"/>
      <c r="N798" s="10"/>
      <c r="O798" s="3"/>
      <c r="P798" s="3"/>
      <c r="Q798" s="3"/>
    </row>
    <row r="799" spans="5:17" x14ac:dyDescent="0.25">
      <c r="E799" s="2"/>
      <c r="G799" s="3"/>
      <c r="H799" s="3"/>
      <c r="I799" s="3"/>
      <c r="J799" s="3"/>
      <c r="K799" s="3"/>
      <c r="L799" s="3"/>
      <c r="N799" s="10"/>
      <c r="O799" s="3"/>
      <c r="P799" s="3"/>
      <c r="Q799" s="3"/>
    </row>
    <row r="800" spans="5:17" x14ac:dyDescent="0.25">
      <c r="E800" s="2"/>
      <c r="G800" s="3"/>
      <c r="H800" s="3"/>
      <c r="I800" s="3"/>
      <c r="J800" s="3"/>
      <c r="K800" s="3"/>
      <c r="L800" s="3"/>
      <c r="N800" s="10"/>
      <c r="O800" s="3"/>
      <c r="P800" s="3"/>
      <c r="Q800" s="3"/>
    </row>
    <row r="801" spans="5:17" x14ac:dyDescent="0.25">
      <c r="E801" s="2"/>
      <c r="G801" s="3"/>
      <c r="H801" s="3"/>
      <c r="I801" s="3"/>
      <c r="J801" s="3"/>
      <c r="K801" s="3"/>
      <c r="L801" s="3"/>
      <c r="N801" s="10"/>
      <c r="O801" s="3"/>
      <c r="P801" s="3"/>
      <c r="Q801" s="3"/>
    </row>
    <row r="802" spans="5:17" x14ac:dyDescent="0.25">
      <c r="E802" s="2"/>
      <c r="G802" s="3"/>
      <c r="H802" s="3"/>
      <c r="I802" s="3"/>
      <c r="J802" s="3"/>
      <c r="K802" s="3"/>
      <c r="L802" s="3"/>
      <c r="N802" s="10"/>
      <c r="O802" s="3"/>
      <c r="P802" s="3"/>
      <c r="Q802" s="3"/>
    </row>
    <row r="803" spans="5:17" x14ac:dyDescent="0.25">
      <c r="E803" s="2"/>
      <c r="G803" s="3"/>
      <c r="H803" s="3"/>
      <c r="I803" s="3"/>
      <c r="J803" s="3"/>
      <c r="K803" s="3"/>
      <c r="L803" s="3"/>
      <c r="N803" s="10"/>
      <c r="O803" s="3"/>
      <c r="P803" s="3"/>
      <c r="Q803" s="3"/>
    </row>
    <row r="804" spans="5:17" x14ac:dyDescent="0.25">
      <c r="E804" s="2"/>
      <c r="G804" s="3"/>
      <c r="H804" s="3"/>
      <c r="I804" s="3"/>
      <c r="J804" s="3"/>
      <c r="K804" s="3"/>
      <c r="L804" s="3"/>
      <c r="N804" s="10"/>
      <c r="O804" s="3"/>
      <c r="P804" s="3"/>
      <c r="Q804" s="3"/>
    </row>
    <row r="805" spans="5:17" x14ac:dyDescent="0.25">
      <c r="E805" s="2"/>
      <c r="G805" s="3"/>
      <c r="H805" s="3"/>
      <c r="I805" s="3"/>
      <c r="J805" s="3"/>
      <c r="K805" s="3"/>
      <c r="L805" s="3"/>
      <c r="N805" s="10"/>
      <c r="O805" s="3"/>
      <c r="P805" s="3"/>
      <c r="Q805" s="3"/>
    </row>
    <row r="806" spans="5:17" x14ac:dyDescent="0.25">
      <c r="E806" s="2"/>
      <c r="G806" s="3"/>
      <c r="H806" s="3"/>
      <c r="I806" s="3"/>
      <c r="J806" s="3"/>
      <c r="K806" s="3"/>
      <c r="L806" s="3"/>
      <c r="N806" s="10"/>
      <c r="O806" s="3"/>
      <c r="P806" s="3"/>
      <c r="Q806" s="3"/>
    </row>
    <row r="807" spans="5:17" x14ac:dyDescent="0.25">
      <c r="E807" s="2"/>
      <c r="G807" s="3"/>
      <c r="H807" s="3"/>
      <c r="I807" s="3"/>
      <c r="J807" s="3"/>
      <c r="K807" s="3"/>
      <c r="L807" s="3"/>
      <c r="N807" s="10"/>
      <c r="O807" s="3"/>
      <c r="P807" s="3"/>
      <c r="Q807" s="3"/>
    </row>
    <row r="808" spans="5:17" x14ac:dyDescent="0.25">
      <c r="E808" s="2"/>
      <c r="G808" s="3"/>
      <c r="H808" s="3"/>
      <c r="I808" s="3"/>
      <c r="J808" s="3"/>
      <c r="K808" s="3"/>
      <c r="L808" s="3"/>
      <c r="N808" s="10"/>
      <c r="O808" s="3"/>
      <c r="P808" s="3"/>
      <c r="Q808" s="3"/>
    </row>
    <row r="809" spans="5:17" x14ac:dyDescent="0.25">
      <c r="E809" s="2"/>
      <c r="G809" s="3"/>
      <c r="H809" s="3"/>
      <c r="I809" s="3"/>
      <c r="J809" s="3"/>
      <c r="K809" s="3"/>
      <c r="L809" s="3"/>
      <c r="N809" s="10"/>
      <c r="O809" s="3"/>
      <c r="P809" s="3"/>
      <c r="Q809" s="3"/>
    </row>
    <row r="810" spans="5:17" x14ac:dyDescent="0.25">
      <c r="E810" s="2"/>
      <c r="G810" s="3"/>
      <c r="H810" s="3"/>
      <c r="I810" s="3"/>
      <c r="J810" s="3"/>
      <c r="K810" s="3"/>
      <c r="L810" s="3"/>
      <c r="N810" s="10"/>
      <c r="O810" s="3"/>
      <c r="P810" s="3"/>
      <c r="Q810" s="3"/>
    </row>
    <row r="811" spans="5:17" x14ac:dyDescent="0.25">
      <c r="E811" s="2"/>
      <c r="G811" s="3"/>
      <c r="H811" s="3"/>
      <c r="I811" s="3"/>
      <c r="J811" s="3"/>
      <c r="K811" s="3"/>
      <c r="L811" s="3"/>
      <c r="N811" s="10"/>
      <c r="O811" s="3"/>
      <c r="P811" s="3"/>
      <c r="Q811" s="3"/>
    </row>
    <row r="812" spans="5:17" x14ac:dyDescent="0.25">
      <c r="E812" s="2"/>
      <c r="G812" s="3"/>
      <c r="H812" s="3"/>
      <c r="I812" s="3"/>
      <c r="J812" s="3"/>
      <c r="K812" s="3"/>
      <c r="L812" s="3"/>
      <c r="N812" s="10"/>
      <c r="O812" s="3"/>
      <c r="P812" s="3"/>
      <c r="Q812" s="3"/>
    </row>
    <row r="813" spans="5:17" x14ac:dyDescent="0.25">
      <c r="E813" s="2"/>
      <c r="G813" s="3"/>
      <c r="H813" s="3"/>
      <c r="I813" s="3"/>
      <c r="J813" s="3"/>
      <c r="K813" s="3"/>
      <c r="L813" s="3"/>
      <c r="N813" s="10"/>
      <c r="O813" s="3"/>
      <c r="P813" s="3"/>
      <c r="Q813" s="3"/>
    </row>
    <row r="814" spans="5:17" x14ac:dyDescent="0.25">
      <c r="E814" s="2"/>
      <c r="G814" s="3"/>
      <c r="H814" s="3"/>
      <c r="I814" s="3"/>
      <c r="J814" s="3"/>
      <c r="K814" s="3"/>
      <c r="L814" s="3"/>
      <c r="N814" s="10"/>
      <c r="O814" s="3"/>
      <c r="P814" s="3"/>
      <c r="Q814" s="3"/>
    </row>
    <row r="815" spans="5:17" x14ac:dyDescent="0.25">
      <c r="E815" s="2"/>
      <c r="G815" s="3"/>
      <c r="H815" s="3"/>
      <c r="I815" s="3"/>
      <c r="J815" s="3"/>
      <c r="K815" s="3"/>
      <c r="L815" s="3"/>
      <c r="N815" s="10"/>
      <c r="O815" s="3"/>
      <c r="P815" s="3"/>
      <c r="Q815" s="3"/>
    </row>
    <row r="816" spans="5:17" x14ac:dyDescent="0.25">
      <c r="E816" s="2"/>
      <c r="G816" s="3"/>
      <c r="H816" s="3"/>
      <c r="I816" s="3"/>
      <c r="J816" s="3"/>
      <c r="K816" s="3"/>
      <c r="L816" s="3"/>
      <c r="N816" s="10"/>
      <c r="O816" s="3"/>
      <c r="P816" s="3"/>
      <c r="Q816" s="3"/>
    </row>
    <row r="817" spans="5:17" x14ac:dyDescent="0.25">
      <c r="E817" s="2"/>
      <c r="G817" s="3"/>
      <c r="H817" s="3"/>
      <c r="I817" s="3"/>
      <c r="J817" s="3"/>
      <c r="K817" s="3"/>
      <c r="L817" s="3"/>
      <c r="N817" s="10"/>
      <c r="O817" s="3"/>
      <c r="P817" s="3"/>
      <c r="Q817" s="3"/>
    </row>
    <row r="818" spans="5:17" x14ac:dyDescent="0.25">
      <c r="E818" s="2"/>
      <c r="G818" s="3"/>
      <c r="H818" s="3"/>
      <c r="I818" s="3"/>
      <c r="J818" s="3"/>
      <c r="K818" s="3"/>
      <c r="L818" s="3"/>
      <c r="N818" s="10"/>
      <c r="O818" s="3"/>
      <c r="P818" s="3"/>
      <c r="Q818" s="3"/>
    </row>
    <row r="819" spans="5:17" x14ac:dyDescent="0.25">
      <c r="E819" s="2"/>
      <c r="G819" s="3"/>
      <c r="H819" s="3"/>
      <c r="I819" s="3"/>
      <c r="J819" s="3"/>
      <c r="K819" s="3"/>
      <c r="L819" s="3"/>
      <c r="N819" s="10"/>
      <c r="O819" s="3"/>
      <c r="P819" s="3"/>
      <c r="Q819" s="3"/>
    </row>
    <row r="820" spans="5:17" x14ac:dyDescent="0.25">
      <c r="E820" s="2"/>
      <c r="G820" s="3"/>
      <c r="H820" s="3"/>
      <c r="I820" s="3"/>
      <c r="J820" s="3"/>
      <c r="K820" s="3"/>
      <c r="L820" s="3"/>
      <c r="N820" s="10"/>
      <c r="O820" s="3"/>
      <c r="P820" s="3"/>
      <c r="Q820" s="3"/>
    </row>
    <row r="821" spans="5:17" x14ac:dyDescent="0.25">
      <c r="E821" s="2"/>
      <c r="G821" s="3"/>
      <c r="H821" s="3"/>
      <c r="I821" s="3"/>
      <c r="J821" s="3"/>
      <c r="K821" s="3"/>
      <c r="L821" s="3"/>
      <c r="N821" s="10"/>
      <c r="O821" s="3"/>
      <c r="P821" s="3"/>
      <c r="Q821" s="3"/>
    </row>
    <row r="822" spans="5:17" x14ac:dyDescent="0.25">
      <c r="E822" s="2"/>
      <c r="G822" s="3"/>
      <c r="H822" s="3"/>
      <c r="I822" s="3"/>
      <c r="J822" s="3"/>
      <c r="K822" s="3"/>
      <c r="L822" s="3"/>
      <c r="N822" s="10"/>
      <c r="O822" s="3"/>
      <c r="P822" s="3"/>
      <c r="Q822" s="3"/>
    </row>
    <row r="823" spans="5:17" x14ac:dyDescent="0.25">
      <c r="E823" s="2"/>
      <c r="G823" s="3"/>
      <c r="H823" s="3"/>
      <c r="I823" s="3"/>
      <c r="J823" s="3"/>
      <c r="K823" s="3"/>
      <c r="L823" s="3"/>
      <c r="N823" s="10"/>
      <c r="O823" s="3"/>
      <c r="P823" s="3"/>
      <c r="Q823" s="3"/>
    </row>
    <row r="824" spans="5:17" x14ac:dyDescent="0.25">
      <c r="E824" s="2"/>
      <c r="G824" s="3"/>
      <c r="H824" s="3"/>
      <c r="I824" s="3"/>
      <c r="J824" s="3"/>
      <c r="K824" s="3"/>
      <c r="L824" s="3"/>
      <c r="N824" s="10"/>
      <c r="O824" s="3"/>
      <c r="P824" s="3"/>
      <c r="Q824" s="3"/>
    </row>
    <row r="825" spans="5:17" x14ac:dyDescent="0.25">
      <c r="E825" s="2"/>
      <c r="G825" s="3"/>
      <c r="H825" s="3"/>
      <c r="I825" s="3"/>
      <c r="J825" s="3"/>
      <c r="K825" s="3"/>
      <c r="L825" s="3"/>
      <c r="N825" s="10"/>
      <c r="O825" s="3"/>
      <c r="P825" s="3"/>
      <c r="Q825" s="3"/>
    </row>
    <row r="826" spans="5:17" x14ac:dyDescent="0.25">
      <c r="E826" s="2"/>
      <c r="G826" s="3"/>
      <c r="H826" s="3"/>
      <c r="I826" s="3"/>
      <c r="J826" s="3"/>
      <c r="K826" s="3"/>
      <c r="L826" s="3"/>
      <c r="N826" s="10"/>
      <c r="O826" s="3"/>
      <c r="P826" s="3"/>
      <c r="Q826" s="3"/>
    </row>
    <row r="827" spans="5:17" x14ac:dyDescent="0.25">
      <c r="E827" s="2"/>
      <c r="G827" s="3"/>
      <c r="H827" s="3"/>
      <c r="I827" s="3"/>
      <c r="J827" s="3"/>
      <c r="K827" s="3"/>
      <c r="L827" s="3"/>
      <c r="N827" s="10"/>
      <c r="O827" s="3"/>
      <c r="P827" s="3"/>
      <c r="Q827" s="3"/>
    </row>
    <row r="828" spans="5:17" x14ac:dyDescent="0.25">
      <c r="E828" s="2"/>
      <c r="G828" s="3"/>
      <c r="H828" s="3"/>
      <c r="I828" s="3"/>
      <c r="J828" s="3"/>
      <c r="K828" s="3"/>
      <c r="L828" s="3"/>
      <c r="N828" s="10"/>
      <c r="O828" s="3"/>
      <c r="P828" s="3"/>
      <c r="Q828" s="3"/>
    </row>
    <row r="829" spans="5:17" x14ac:dyDescent="0.25">
      <c r="E829" s="2"/>
      <c r="G829" s="3"/>
      <c r="H829" s="3"/>
      <c r="I829" s="3"/>
      <c r="J829" s="3"/>
      <c r="K829" s="3"/>
      <c r="L829" s="3"/>
      <c r="N829" s="10"/>
      <c r="O829" s="3"/>
      <c r="P829" s="3"/>
      <c r="Q829" s="3"/>
    </row>
    <row r="830" spans="5:17" x14ac:dyDescent="0.25">
      <c r="E830" s="2"/>
      <c r="G830" s="3"/>
      <c r="H830" s="3"/>
      <c r="I830" s="3"/>
      <c r="J830" s="3"/>
      <c r="K830" s="3"/>
      <c r="L830" s="3"/>
      <c r="N830" s="10"/>
      <c r="O830" s="3"/>
      <c r="P830" s="3"/>
      <c r="Q830" s="3"/>
    </row>
    <row r="831" spans="5:17" x14ac:dyDescent="0.25">
      <c r="E831" s="2"/>
      <c r="G831" s="3"/>
      <c r="H831" s="3"/>
      <c r="I831" s="3"/>
      <c r="J831" s="3"/>
      <c r="K831" s="3"/>
      <c r="L831" s="3"/>
      <c r="N831" s="10"/>
      <c r="O831" s="3"/>
      <c r="P831" s="3"/>
      <c r="Q831" s="3"/>
    </row>
    <row r="832" spans="5:17" x14ac:dyDescent="0.25">
      <c r="E832" s="2"/>
      <c r="G832" s="3"/>
      <c r="H832" s="3"/>
      <c r="I832" s="3"/>
      <c r="J832" s="3"/>
      <c r="K832" s="3"/>
      <c r="L832" s="3"/>
      <c r="N832" s="10"/>
      <c r="O832" s="3"/>
      <c r="P832" s="3"/>
      <c r="Q832" s="3"/>
    </row>
    <row r="833" spans="5:17" x14ac:dyDescent="0.25">
      <c r="E833" s="2"/>
      <c r="G833" s="3"/>
      <c r="H833" s="3"/>
      <c r="I833" s="3"/>
      <c r="J833" s="3"/>
      <c r="K833" s="3"/>
      <c r="L833" s="3"/>
      <c r="N833" s="10"/>
      <c r="O833" s="3"/>
      <c r="P833" s="3"/>
      <c r="Q833" s="3"/>
    </row>
    <row r="834" spans="5:17" x14ac:dyDescent="0.25">
      <c r="E834" s="2"/>
      <c r="G834" s="3"/>
      <c r="H834" s="3"/>
      <c r="I834" s="3"/>
      <c r="J834" s="3"/>
      <c r="K834" s="3"/>
      <c r="L834" s="3"/>
      <c r="N834" s="10"/>
      <c r="O834" s="3"/>
      <c r="P834" s="3"/>
      <c r="Q834" s="3"/>
    </row>
    <row r="835" spans="5:17" x14ac:dyDescent="0.25">
      <c r="E835" s="2"/>
      <c r="G835" s="3"/>
      <c r="H835" s="3"/>
      <c r="I835" s="3"/>
      <c r="J835" s="3"/>
      <c r="K835" s="3"/>
      <c r="L835" s="3"/>
      <c r="N835" s="10"/>
      <c r="O835" s="3"/>
      <c r="P835" s="3"/>
      <c r="Q835" s="3"/>
    </row>
    <row r="836" spans="5:17" x14ac:dyDescent="0.25">
      <c r="E836" s="2"/>
      <c r="G836" s="3"/>
      <c r="H836" s="3"/>
      <c r="I836" s="3"/>
      <c r="J836" s="3"/>
      <c r="K836" s="3"/>
      <c r="L836" s="3"/>
      <c r="N836" s="10"/>
      <c r="O836" s="3"/>
      <c r="P836" s="3"/>
      <c r="Q836" s="3"/>
    </row>
    <row r="837" spans="5:17" x14ac:dyDescent="0.25">
      <c r="E837" s="2"/>
      <c r="G837" s="3"/>
      <c r="H837" s="3"/>
      <c r="I837" s="3"/>
      <c r="J837" s="3"/>
      <c r="K837" s="3"/>
      <c r="L837" s="3"/>
      <c r="N837" s="10"/>
      <c r="O837" s="3"/>
      <c r="P837" s="3"/>
      <c r="Q837" s="3"/>
    </row>
    <row r="838" spans="5:17" x14ac:dyDescent="0.25">
      <c r="E838" s="2"/>
      <c r="G838" s="3"/>
      <c r="H838" s="3"/>
      <c r="I838" s="3"/>
      <c r="J838" s="3"/>
      <c r="K838" s="3"/>
      <c r="L838" s="3"/>
      <c r="N838" s="10"/>
      <c r="O838" s="3"/>
      <c r="P838" s="3"/>
      <c r="Q838" s="3"/>
    </row>
    <row r="839" spans="5:17" x14ac:dyDescent="0.25">
      <c r="E839" s="2"/>
      <c r="G839" s="3"/>
      <c r="H839" s="3"/>
      <c r="I839" s="3"/>
      <c r="J839" s="3"/>
      <c r="K839" s="3"/>
      <c r="L839" s="3"/>
      <c r="N839" s="10"/>
      <c r="O839" s="3"/>
      <c r="P839" s="3"/>
      <c r="Q839" s="3"/>
    </row>
    <row r="840" spans="5:17" x14ac:dyDescent="0.25">
      <c r="E840" s="2"/>
      <c r="G840" s="3"/>
      <c r="H840" s="3"/>
      <c r="I840" s="3"/>
      <c r="J840" s="3"/>
      <c r="K840" s="3"/>
      <c r="L840" s="3"/>
      <c r="N840" s="10"/>
      <c r="O840" s="3"/>
      <c r="P840" s="3"/>
      <c r="Q840" s="3"/>
    </row>
    <row r="841" spans="5:17" x14ac:dyDescent="0.25">
      <c r="E841" s="2"/>
      <c r="G841" s="3"/>
      <c r="H841" s="3"/>
      <c r="I841" s="3"/>
      <c r="J841" s="3"/>
      <c r="K841" s="3"/>
      <c r="L841" s="3"/>
      <c r="N841" s="10"/>
      <c r="O841" s="3"/>
      <c r="P841" s="3"/>
      <c r="Q841" s="3"/>
    </row>
    <row r="842" spans="5:17" x14ac:dyDescent="0.25">
      <c r="E842" s="2"/>
      <c r="G842" s="3"/>
      <c r="H842" s="3"/>
      <c r="I842" s="3"/>
      <c r="J842" s="3"/>
      <c r="K842" s="3"/>
      <c r="L842" s="3"/>
      <c r="N842" s="10"/>
      <c r="O842" s="3"/>
      <c r="P842" s="3"/>
      <c r="Q842" s="3"/>
    </row>
    <row r="843" spans="5:17" x14ac:dyDescent="0.25">
      <c r="E843" s="2"/>
      <c r="G843" s="3"/>
      <c r="H843" s="3"/>
      <c r="I843" s="3"/>
      <c r="J843" s="3"/>
      <c r="K843" s="3"/>
      <c r="L843" s="3"/>
      <c r="N843" s="10"/>
      <c r="O843" s="3"/>
      <c r="P843" s="3"/>
      <c r="Q843" s="3"/>
    </row>
    <row r="844" spans="5:17" x14ac:dyDescent="0.25">
      <c r="E844" s="2"/>
      <c r="G844" s="3"/>
      <c r="H844" s="3"/>
      <c r="I844" s="3"/>
      <c r="J844" s="3"/>
      <c r="K844" s="3"/>
      <c r="L844" s="3"/>
      <c r="N844" s="10"/>
      <c r="O844" s="3"/>
      <c r="P844" s="3"/>
      <c r="Q844" s="3"/>
    </row>
    <row r="845" spans="5:17" x14ac:dyDescent="0.25">
      <c r="E845" s="2"/>
      <c r="G845" s="3"/>
      <c r="H845" s="3"/>
      <c r="I845" s="3"/>
      <c r="J845" s="3"/>
      <c r="K845" s="3"/>
      <c r="L845" s="3"/>
      <c r="N845" s="10"/>
      <c r="O845" s="3"/>
      <c r="P845" s="3"/>
      <c r="Q845" s="3"/>
    </row>
    <row r="846" spans="5:17" x14ac:dyDescent="0.25">
      <c r="E846" s="2"/>
      <c r="G846" s="3"/>
      <c r="H846" s="3"/>
      <c r="I846" s="3"/>
      <c r="J846" s="3"/>
      <c r="K846" s="3"/>
      <c r="L846" s="3"/>
      <c r="N846" s="10"/>
      <c r="O846" s="3"/>
      <c r="P846" s="3"/>
      <c r="Q846" s="3"/>
    </row>
    <row r="847" spans="5:17" x14ac:dyDescent="0.25">
      <c r="E847" s="2"/>
      <c r="G847" s="3"/>
      <c r="H847" s="3"/>
      <c r="I847" s="3"/>
      <c r="J847" s="3"/>
      <c r="K847" s="3"/>
      <c r="L847" s="3"/>
      <c r="N847" s="10"/>
      <c r="O847" s="3"/>
      <c r="P847" s="3"/>
      <c r="Q847" s="3"/>
    </row>
    <row r="848" spans="5:17" x14ac:dyDescent="0.25">
      <c r="E848" s="2"/>
      <c r="G848" s="3"/>
      <c r="H848" s="3"/>
      <c r="I848" s="3"/>
      <c r="J848" s="3"/>
      <c r="K848" s="3"/>
      <c r="L848" s="3"/>
      <c r="N848" s="10"/>
      <c r="O848" s="3"/>
      <c r="P848" s="3"/>
      <c r="Q848" s="3"/>
    </row>
    <row r="849" spans="5:17" x14ac:dyDescent="0.25">
      <c r="E849" s="2"/>
      <c r="G849" s="3"/>
      <c r="H849" s="3"/>
      <c r="I849" s="3"/>
      <c r="J849" s="3"/>
      <c r="K849" s="3"/>
      <c r="L849" s="3"/>
      <c r="N849" s="10"/>
      <c r="O849" s="3"/>
      <c r="P849" s="3"/>
      <c r="Q849" s="3"/>
    </row>
    <row r="850" spans="5:17" x14ac:dyDescent="0.25">
      <c r="E850" s="2"/>
      <c r="G850" s="3"/>
      <c r="H850" s="3"/>
      <c r="I850" s="3"/>
      <c r="J850" s="3"/>
      <c r="K850" s="3"/>
      <c r="L850" s="3"/>
      <c r="N850" s="10"/>
      <c r="O850" s="3"/>
      <c r="P850" s="3"/>
      <c r="Q850" s="3"/>
    </row>
    <row r="851" spans="5:17" x14ac:dyDescent="0.25">
      <c r="E851" s="2"/>
      <c r="G851" s="3"/>
      <c r="H851" s="3"/>
      <c r="I851" s="3"/>
      <c r="J851" s="3"/>
      <c r="K851" s="3"/>
      <c r="L851" s="3"/>
      <c r="N851" s="10"/>
      <c r="O851" s="3"/>
      <c r="P851" s="3"/>
      <c r="Q851" s="3"/>
    </row>
    <row r="852" spans="5:17" x14ac:dyDescent="0.25">
      <c r="E852" s="2"/>
      <c r="G852" s="3"/>
      <c r="H852" s="3"/>
      <c r="I852" s="3"/>
      <c r="J852" s="3"/>
      <c r="K852" s="3"/>
      <c r="L852" s="3"/>
      <c r="N852" s="10"/>
      <c r="O852" s="3"/>
      <c r="P852" s="3"/>
      <c r="Q852" s="3"/>
    </row>
    <row r="853" spans="5:17" x14ac:dyDescent="0.25">
      <c r="E853" s="2"/>
      <c r="G853" s="3"/>
      <c r="H853" s="3"/>
      <c r="I853" s="3"/>
      <c r="J853" s="3"/>
      <c r="K853" s="3"/>
      <c r="L853" s="3"/>
      <c r="N853" s="10"/>
      <c r="O853" s="3"/>
      <c r="P853" s="3"/>
      <c r="Q853" s="3"/>
    </row>
    <row r="854" spans="5:17" x14ac:dyDescent="0.25">
      <c r="E854" s="2"/>
      <c r="G854" s="3"/>
      <c r="H854" s="3"/>
      <c r="I854" s="3"/>
      <c r="J854" s="3"/>
      <c r="K854" s="3"/>
      <c r="L854" s="3"/>
      <c r="N854" s="10"/>
      <c r="O854" s="3"/>
      <c r="P854" s="3"/>
      <c r="Q854" s="3"/>
    </row>
    <row r="855" spans="5:17" x14ac:dyDescent="0.25">
      <c r="E855" s="2"/>
      <c r="G855" s="3"/>
      <c r="H855" s="3"/>
      <c r="I855" s="3"/>
      <c r="J855" s="3"/>
      <c r="K855" s="3"/>
      <c r="L855" s="3"/>
      <c r="N855" s="10"/>
      <c r="O855" s="3"/>
      <c r="P855" s="3"/>
      <c r="Q855" s="3"/>
    </row>
    <row r="856" spans="5:17" x14ac:dyDescent="0.25">
      <c r="E856" s="2"/>
      <c r="G856" s="3"/>
      <c r="H856" s="3"/>
      <c r="I856" s="3"/>
      <c r="J856" s="3"/>
      <c r="K856" s="3"/>
      <c r="L856" s="3"/>
      <c r="N856" s="10"/>
      <c r="O856" s="3"/>
      <c r="P856" s="3"/>
      <c r="Q856" s="3"/>
    </row>
    <row r="857" spans="5:17" x14ac:dyDescent="0.25">
      <c r="E857" s="2"/>
      <c r="G857" s="3"/>
      <c r="H857" s="3"/>
      <c r="I857" s="3"/>
      <c r="J857" s="3"/>
      <c r="K857" s="3"/>
      <c r="L857" s="3"/>
      <c r="N857" s="10"/>
      <c r="O857" s="3"/>
      <c r="P857" s="3"/>
      <c r="Q857" s="3"/>
    </row>
    <row r="858" spans="5:17" x14ac:dyDescent="0.25">
      <c r="E858" s="2"/>
      <c r="G858" s="3"/>
      <c r="H858" s="3"/>
      <c r="I858" s="3"/>
      <c r="J858" s="3"/>
      <c r="K858" s="3"/>
      <c r="L858" s="3"/>
      <c r="N858" s="10"/>
      <c r="O858" s="3"/>
      <c r="P858" s="3"/>
      <c r="Q858" s="3"/>
    </row>
    <row r="859" spans="5:17" x14ac:dyDescent="0.25">
      <c r="E859" s="2"/>
      <c r="G859" s="3"/>
      <c r="H859" s="3"/>
      <c r="I859" s="3"/>
      <c r="J859" s="3"/>
      <c r="K859" s="3"/>
      <c r="L859" s="3"/>
      <c r="N859" s="10"/>
      <c r="O859" s="3"/>
      <c r="P859" s="3"/>
      <c r="Q859" s="3"/>
    </row>
    <row r="860" spans="5:17" x14ac:dyDescent="0.25">
      <c r="E860" s="2"/>
      <c r="G860" s="3"/>
      <c r="H860" s="3"/>
      <c r="I860" s="3"/>
      <c r="J860" s="3"/>
      <c r="K860" s="3"/>
      <c r="L860" s="3"/>
      <c r="N860" s="10"/>
      <c r="O860" s="3"/>
      <c r="P860" s="3"/>
      <c r="Q860" s="3"/>
    </row>
    <row r="861" spans="5:17" x14ac:dyDescent="0.25">
      <c r="E861" s="2"/>
      <c r="G861" s="3"/>
      <c r="H861" s="3"/>
      <c r="I861" s="3"/>
      <c r="J861" s="3"/>
      <c r="K861" s="3"/>
      <c r="L861" s="3"/>
      <c r="N861" s="10"/>
      <c r="O861" s="3"/>
      <c r="P861" s="3"/>
      <c r="Q861" s="3"/>
    </row>
    <row r="862" spans="5:17" x14ac:dyDescent="0.25">
      <c r="E862" s="2"/>
      <c r="G862" s="3"/>
      <c r="H862" s="3"/>
      <c r="I862" s="3"/>
      <c r="J862" s="3"/>
      <c r="K862" s="3"/>
      <c r="L862" s="3"/>
      <c r="N862" s="10"/>
      <c r="O862" s="3"/>
      <c r="P862" s="3"/>
      <c r="Q862" s="3"/>
    </row>
    <row r="863" spans="5:17" x14ac:dyDescent="0.25">
      <c r="E863" s="2"/>
      <c r="G863" s="3"/>
      <c r="H863" s="3"/>
      <c r="I863" s="3"/>
      <c r="J863" s="3"/>
      <c r="K863" s="3"/>
      <c r="L863" s="3"/>
      <c r="N863" s="10"/>
      <c r="O863" s="3"/>
      <c r="P863" s="3"/>
      <c r="Q863" s="3"/>
    </row>
    <row r="864" spans="5:17" x14ac:dyDescent="0.25">
      <c r="E864" s="2"/>
      <c r="G864" s="3"/>
      <c r="H864" s="3"/>
      <c r="I864" s="3"/>
      <c r="J864" s="3"/>
      <c r="K864" s="3"/>
      <c r="L864" s="3"/>
      <c r="N864" s="10"/>
      <c r="O864" s="3"/>
      <c r="P864" s="3"/>
      <c r="Q864" s="3"/>
    </row>
    <row r="865" spans="5:17" x14ac:dyDescent="0.25">
      <c r="E865" s="2"/>
      <c r="G865" s="3"/>
      <c r="H865" s="3"/>
      <c r="I865" s="3"/>
      <c r="J865" s="3"/>
      <c r="K865" s="3"/>
      <c r="L865" s="3"/>
      <c r="N865" s="10"/>
      <c r="O865" s="3"/>
      <c r="P865" s="3"/>
      <c r="Q865" s="3"/>
    </row>
    <row r="866" spans="5:17" x14ac:dyDescent="0.25">
      <c r="E866" s="2"/>
      <c r="G866" s="3"/>
      <c r="H866" s="3"/>
      <c r="I866" s="3"/>
      <c r="J866" s="3"/>
      <c r="K866" s="3"/>
      <c r="L866" s="3"/>
      <c r="N866" s="10"/>
      <c r="O866" s="3"/>
      <c r="P866" s="3"/>
      <c r="Q866" s="3"/>
    </row>
    <row r="867" spans="5:17" x14ac:dyDescent="0.25">
      <c r="E867" s="2"/>
      <c r="G867" s="3"/>
      <c r="H867" s="3"/>
      <c r="I867" s="3"/>
      <c r="J867" s="3"/>
      <c r="K867" s="3"/>
      <c r="L867" s="3"/>
      <c r="N867" s="10"/>
      <c r="O867" s="3"/>
      <c r="P867" s="3"/>
      <c r="Q867" s="3"/>
    </row>
    <row r="868" spans="5:17" x14ac:dyDescent="0.25">
      <c r="E868" s="2"/>
      <c r="G868" s="3"/>
      <c r="H868" s="3"/>
      <c r="I868" s="3"/>
      <c r="J868" s="3"/>
      <c r="K868" s="3"/>
      <c r="L868" s="3"/>
      <c r="N868" s="10"/>
      <c r="O868" s="3"/>
      <c r="P868" s="3"/>
      <c r="Q868" s="3"/>
    </row>
    <row r="869" spans="5:17" x14ac:dyDescent="0.25">
      <c r="E869" s="2"/>
      <c r="G869" s="3"/>
      <c r="H869" s="3"/>
      <c r="I869" s="3"/>
      <c r="J869" s="3"/>
      <c r="K869" s="3"/>
      <c r="L869" s="3"/>
      <c r="N869" s="10"/>
      <c r="O869" s="3"/>
      <c r="P869" s="3"/>
      <c r="Q869" s="3"/>
    </row>
    <row r="870" spans="5:17" x14ac:dyDescent="0.25">
      <c r="E870" s="2"/>
      <c r="G870" s="3"/>
      <c r="H870" s="3"/>
      <c r="I870" s="3"/>
      <c r="J870" s="3"/>
      <c r="K870" s="3"/>
      <c r="L870" s="3"/>
      <c r="N870" s="10"/>
      <c r="O870" s="3"/>
      <c r="P870" s="3"/>
      <c r="Q870" s="3"/>
    </row>
    <row r="871" spans="5:17" x14ac:dyDescent="0.25">
      <c r="E871" s="2"/>
      <c r="G871" s="3"/>
      <c r="H871" s="3"/>
      <c r="I871" s="3"/>
      <c r="J871" s="3"/>
      <c r="K871" s="3"/>
      <c r="L871" s="3"/>
      <c r="N871" s="10"/>
      <c r="O871" s="3"/>
      <c r="P871" s="3"/>
      <c r="Q871" s="3"/>
    </row>
    <row r="872" spans="5:17" x14ac:dyDescent="0.25">
      <c r="E872" s="2"/>
      <c r="G872" s="3"/>
      <c r="H872" s="3"/>
      <c r="I872" s="3"/>
      <c r="J872" s="3"/>
      <c r="K872" s="3"/>
      <c r="L872" s="3"/>
      <c r="N872" s="10"/>
      <c r="O872" s="3"/>
      <c r="P872" s="3"/>
      <c r="Q872" s="3"/>
    </row>
    <row r="873" spans="5:17" x14ac:dyDescent="0.25">
      <c r="E873" s="2"/>
      <c r="G873" s="3"/>
      <c r="H873" s="3"/>
      <c r="I873" s="3"/>
      <c r="J873" s="3"/>
      <c r="K873" s="3"/>
      <c r="L873" s="3"/>
      <c r="N873" s="10"/>
      <c r="O873" s="3"/>
      <c r="P873" s="3"/>
      <c r="Q873" s="3"/>
    </row>
    <row r="874" spans="5:17" x14ac:dyDescent="0.25">
      <c r="E874" s="2"/>
      <c r="G874" s="3"/>
      <c r="H874" s="3"/>
      <c r="I874" s="3"/>
      <c r="J874" s="3"/>
      <c r="K874" s="3"/>
      <c r="L874" s="3"/>
      <c r="N874" s="10"/>
      <c r="O874" s="3"/>
      <c r="P874" s="3"/>
      <c r="Q874" s="3"/>
    </row>
    <row r="875" spans="5:17" x14ac:dyDescent="0.25">
      <c r="E875" s="2"/>
      <c r="G875" s="3"/>
      <c r="H875" s="3"/>
      <c r="I875" s="3"/>
      <c r="J875" s="3"/>
      <c r="K875" s="3"/>
      <c r="L875" s="3"/>
      <c r="N875" s="10"/>
      <c r="O875" s="3"/>
      <c r="P875" s="3"/>
      <c r="Q875" s="3"/>
    </row>
    <row r="876" spans="5:17" x14ac:dyDescent="0.25">
      <c r="E876" s="2"/>
      <c r="G876" s="3"/>
      <c r="H876" s="3"/>
      <c r="I876" s="3"/>
      <c r="J876" s="3"/>
      <c r="K876" s="3"/>
      <c r="L876" s="3"/>
      <c r="N876" s="10"/>
      <c r="O876" s="3"/>
      <c r="P876" s="3"/>
      <c r="Q876" s="3"/>
    </row>
    <row r="877" spans="5:17" x14ac:dyDescent="0.25">
      <c r="E877" s="2"/>
      <c r="G877" s="3"/>
      <c r="H877" s="3"/>
      <c r="I877" s="3"/>
      <c r="J877" s="3"/>
      <c r="K877" s="3"/>
      <c r="L877" s="3"/>
      <c r="N877" s="10"/>
      <c r="O877" s="3"/>
      <c r="P877" s="3"/>
      <c r="Q877" s="3"/>
    </row>
    <row r="878" spans="5:17" x14ac:dyDescent="0.25">
      <c r="E878" s="2"/>
      <c r="G878" s="3"/>
      <c r="H878" s="3"/>
      <c r="I878" s="3"/>
      <c r="J878" s="3"/>
      <c r="K878" s="3"/>
      <c r="L878" s="3"/>
      <c r="N878" s="10"/>
      <c r="O878" s="3"/>
      <c r="P878" s="3"/>
      <c r="Q878" s="3"/>
    </row>
    <row r="879" spans="5:17" x14ac:dyDescent="0.25">
      <c r="E879" s="2"/>
      <c r="G879" s="3"/>
      <c r="H879" s="3"/>
      <c r="I879" s="3"/>
      <c r="J879" s="3"/>
      <c r="K879" s="3"/>
      <c r="L879" s="3"/>
      <c r="N879" s="10"/>
      <c r="O879" s="3"/>
      <c r="P879" s="3"/>
      <c r="Q879" s="3"/>
    </row>
    <row r="880" spans="5:17" x14ac:dyDescent="0.25">
      <c r="E880" s="2"/>
      <c r="G880" s="3"/>
      <c r="H880" s="3"/>
      <c r="I880" s="3"/>
      <c r="J880" s="3"/>
      <c r="K880" s="3"/>
      <c r="L880" s="3"/>
      <c r="N880" s="10"/>
      <c r="O880" s="3"/>
      <c r="P880" s="3"/>
      <c r="Q880" s="3"/>
    </row>
    <row r="881" spans="5:17" x14ac:dyDescent="0.25">
      <c r="E881" s="2"/>
      <c r="G881" s="3"/>
      <c r="H881" s="3"/>
      <c r="I881" s="3"/>
      <c r="J881" s="3"/>
      <c r="K881" s="3"/>
      <c r="L881" s="3"/>
      <c r="N881" s="10"/>
      <c r="O881" s="3"/>
      <c r="P881" s="3"/>
      <c r="Q881" s="3"/>
    </row>
    <row r="882" spans="5:17" x14ac:dyDescent="0.25">
      <c r="E882" s="2"/>
      <c r="G882" s="3"/>
      <c r="H882" s="3"/>
      <c r="I882" s="3"/>
      <c r="J882" s="3"/>
      <c r="K882" s="3"/>
      <c r="L882" s="3"/>
      <c r="N882" s="10"/>
      <c r="O882" s="3"/>
      <c r="P882" s="3"/>
      <c r="Q882" s="3"/>
    </row>
    <row r="883" spans="5:17" x14ac:dyDescent="0.25">
      <c r="E883" s="2"/>
      <c r="G883" s="3"/>
      <c r="H883" s="3"/>
      <c r="I883" s="3"/>
      <c r="J883" s="3"/>
      <c r="K883" s="3"/>
      <c r="L883" s="3"/>
      <c r="N883" s="10"/>
      <c r="O883" s="3"/>
      <c r="P883" s="3"/>
      <c r="Q883" s="3"/>
    </row>
    <row r="884" spans="5:17" x14ac:dyDescent="0.25">
      <c r="E884" s="2"/>
      <c r="G884" s="3"/>
      <c r="H884" s="3"/>
      <c r="I884" s="3"/>
      <c r="J884" s="3"/>
      <c r="K884" s="3"/>
      <c r="L884" s="3"/>
      <c r="N884" s="10"/>
      <c r="O884" s="3"/>
      <c r="P884" s="3"/>
      <c r="Q884" s="3"/>
    </row>
    <row r="885" spans="5:17" x14ac:dyDescent="0.25">
      <c r="E885" s="2"/>
      <c r="G885" s="3"/>
      <c r="H885" s="3"/>
      <c r="I885" s="3"/>
      <c r="J885" s="3"/>
      <c r="K885" s="3"/>
      <c r="L885" s="3"/>
      <c r="N885" s="10"/>
      <c r="O885" s="3"/>
      <c r="P885" s="3"/>
      <c r="Q885" s="3"/>
    </row>
    <row r="886" spans="5:17" x14ac:dyDescent="0.25">
      <c r="E886" s="2"/>
      <c r="G886" s="3"/>
      <c r="H886" s="3"/>
      <c r="I886" s="3"/>
      <c r="J886" s="3"/>
      <c r="K886" s="3"/>
      <c r="L886" s="3"/>
      <c r="N886" s="10"/>
      <c r="O886" s="3"/>
      <c r="P886" s="3"/>
      <c r="Q886" s="3"/>
    </row>
    <row r="887" spans="5:17" x14ac:dyDescent="0.25">
      <c r="E887" s="2"/>
      <c r="G887" s="3"/>
      <c r="H887" s="3"/>
      <c r="I887" s="3"/>
      <c r="J887" s="3"/>
      <c r="K887" s="3"/>
      <c r="L887" s="3"/>
      <c r="N887" s="10"/>
      <c r="O887" s="3"/>
      <c r="P887" s="3"/>
      <c r="Q887" s="3"/>
    </row>
    <row r="888" spans="5:17" x14ac:dyDescent="0.25">
      <c r="E888" s="2"/>
      <c r="G888" s="3"/>
      <c r="H888" s="3"/>
      <c r="I888" s="3"/>
      <c r="J888" s="3"/>
      <c r="K888" s="3"/>
      <c r="L888" s="3"/>
      <c r="N888" s="10"/>
      <c r="O888" s="3"/>
      <c r="P888" s="3"/>
      <c r="Q888" s="3"/>
    </row>
    <row r="889" spans="5:17" x14ac:dyDescent="0.25">
      <c r="E889" s="2"/>
      <c r="G889" s="3"/>
      <c r="H889" s="3"/>
      <c r="I889" s="3"/>
      <c r="J889" s="3"/>
      <c r="K889" s="3"/>
      <c r="L889" s="3"/>
      <c r="N889" s="10"/>
      <c r="O889" s="3"/>
      <c r="P889" s="3"/>
      <c r="Q889" s="3"/>
    </row>
    <row r="890" spans="5:17" x14ac:dyDescent="0.25">
      <c r="E890" s="2"/>
      <c r="G890" s="3"/>
      <c r="H890" s="3"/>
      <c r="I890" s="3"/>
      <c r="J890" s="3"/>
      <c r="K890" s="3"/>
      <c r="L890" s="3"/>
      <c r="N890" s="10"/>
      <c r="O890" s="3"/>
      <c r="P890" s="3"/>
      <c r="Q890" s="3"/>
    </row>
    <row r="891" spans="5:17" x14ac:dyDescent="0.25">
      <c r="E891" s="2"/>
      <c r="G891" s="3"/>
      <c r="H891" s="3"/>
      <c r="I891" s="3"/>
      <c r="J891" s="3"/>
      <c r="K891" s="3"/>
      <c r="L891" s="3"/>
      <c r="N891" s="10"/>
      <c r="O891" s="3"/>
      <c r="P891" s="3"/>
      <c r="Q891" s="3"/>
    </row>
    <row r="892" spans="5:17" x14ac:dyDescent="0.25">
      <c r="E892" s="2"/>
      <c r="G892" s="3"/>
      <c r="H892" s="3"/>
      <c r="I892" s="3"/>
      <c r="J892" s="3"/>
      <c r="K892" s="3"/>
      <c r="L892" s="3"/>
      <c r="N892" s="10"/>
      <c r="O892" s="3"/>
      <c r="P892" s="3"/>
      <c r="Q892" s="3"/>
    </row>
    <row r="893" spans="5:17" x14ac:dyDescent="0.25">
      <c r="E893" s="2"/>
      <c r="G893" s="3"/>
      <c r="H893" s="3"/>
      <c r="I893" s="3"/>
      <c r="J893" s="3"/>
      <c r="K893" s="3"/>
      <c r="L893" s="3"/>
      <c r="N893" s="10"/>
      <c r="O893" s="3"/>
      <c r="P893" s="3"/>
      <c r="Q893" s="3"/>
    </row>
    <row r="894" spans="5:17" x14ac:dyDescent="0.25">
      <c r="E894" s="2"/>
      <c r="G894" s="3"/>
      <c r="H894" s="3"/>
      <c r="I894" s="3"/>
      <c r="J894" s="3"/>
      <c r="K894" s="3"/>
      <c r="L894" s="3"/>
      <c r="N894" s="10"/>
      <c r="O894" s="3"/>
      <c r="P894" s="3"/>
      <c r="Q894" s="3"/>
    </row>
    <row r="895" spans="5:17" x14ac:dyDescent="0.25">
      <c r="E895" s="2"/>
      <c r="G895" s="3"/>
      <c r="H895" s="3"/>
      <c r="I895" s="3"/>
      <c r="J895" s="3"/>
      <c r="K895" s="3"/>
      <c r="L895" s="3"/>
      <c r="N895" s="10"/>
      <c r="O895" s="3"/>
      <c r="P895" s="3"/>
      <c r="Q895" s="3"/>
    </row>
    <row r="896" spans="5:17" x14ac:dyDescent="0.25">
      <c r="E896" s="2"/>
      <c r="G896" s="3"/>
      <c r="H896" s="3"/>
      <c r="I896" s="3"/>
      <c r="J896" s="3"/>
      <c r="K896" s="3"/>
      <c r="L896" s="3"/>
      <c r="N896" s="10"/>
      <c r="O896" s="3"/>
      <c r="P896" s="3"/>
      <c r="Q896" s="3"/>
    </row>
    <row r="897" spans="5:17" x14ac:dyDescent="0.25">
      <c r="E897" s="2"/>
      <c r="G897" s="3"/>
      <c r="H897" s="3"/>
      <c r="I897" s="3"/>
      <c r="J897" s="3"/>
      <c r="K897" s="3"/>
      <c r="L897" s="3"/>
      <c r="N897" s="10"/>
      <c r="O897" s="3"/>
      <c r="P897" s="3"/>
      <c r="Q897" s="3"/>
    </row>
    <row r="898" spans="5:17" x14ac:dyDescent="0.25">
      <c r="E898" s="2"/>
      <c r="G898" s="3"/>
      <c r="H898" s="3"/>
      <c r="I898" s="3"/>
      <c r="J898" s="3"/>
      <c r="K898" s="3"/>
      <c r="L898" s="3"/>
      <c r="N898" s="10"/>
      <c r="O898" s="3"/>
      <c r="P898" s="3"/>
      <c r="Q898" s="3"/>
    </row>
    <row r="899" spans="5:17" x14ac:dyDescent="0.25">
      <c r="E899" s="2"/>
      <c r="G899" s="3"/>
      <c r="H899" s="3"/>
      <c r="I899" s="3"/>
      <c r="J899" s="3"/>
      <c r="K899" s="3"/>
      <c r="L899" s="3"/>
      <c r="N899" s="10"/>
      <c r="O899" s="3"/>
      <c r="P899" s="3"/>
      <c r="Q899" s="3"/>
    </row>
    <row r="900" spans="5:17" x14ac:dyDescent="0.25">
      <c r="E900" s="2"/>
      <c r="G900" s="3"/>
      <c r="H900" s="3"/>
      <c r="I900" s="3"/>
      <c r="J900" s="3"/>
      <c r="K900" s="3"/>
      <c r="L900" s="3"/>
      <c r="N900" s="10"/>
      <c r="O900" s="3"/>
      <c r="P900" s="3"/>
      <c r="Q900" s="3"/>
    </row>
    <row r="901" spans="5:17" x14ac:dyDescent="0.25">
      <c r="E901" s="2"/>
      <c r="G901" s="3"/>
      <c r="H901" s="3"/>
      <c r="I901" s="3"/>
      <c r="J901" s="3"/>
      <c r="K901" s="3"/>
      <c r="L901" s="3"/>
      <c r="N901" s="10"/>
      <c r="O901" s="3"/>
      <c r="P901" s="3"/>
      <c r="Q901" s="3"/>
    </row>
    <row r="902" spans="5:17" x14ac:dyDescent="0.25">
      <c r="E902" s="2"/>
      <c r="G902" s="3"/>
      <c r="H902" s="3"/>
      <c r="I902" s="3"/>
      <c r="J902" s="3"/>
      <c r="K902" s="3"/>
      <c r="L902" s="3"/>
      <c r="N902" s="10"/>
      <c r="O902" s="3"/>
      <c r="P902" s="3"/>
      <c r="Q902" s="3"/>
    </row>
    <row r="903" spans="5:17" x14ac:dyDescent="0.25">
      <c r="E903" s="2"/>
      <c r="G903" s="3"/>
      <c r="H903" s="3"/>
      <c r="I903" s="3"/>
      <c r="J903" s="3"/>
      <c r="K903" s="3"/>
      <c r="L903" s="3"/>
      <c r="N903" s="10"/>
      <c r="O903" s="3"/>
      <c r="P903" s="3"/>
      <c r="Q903" s="3"/>
    </row>
    <row r="904" spans="5:17" x14ac:dyDescent="0.25">
      <c r="E904" s="2"/>
      <c r="G904" s="3"/>
      <c r="H904" s="3"/>
      <c r="I904" s="3"/>
      <c r="J904" s="3"/>
      <c r="K904" s="3"/>
      <c r="L904" s="3"/>
      <c r="N904" s="10"/>
      <c r="O904" s="3"/>
      <c r="P904" s="3"/>
      <c r="Q904" s="3"/>
    </row>
    <row r="905" spans="5:17" x14ac:dyDescent="0.25">
      <c r="E905" s="2"/>
      <c r="G905" s="3"/>
      <c r="H905" s="3"/>
      <c r="I905" s="3"/>
      <c r="J905" s="3"/>
      <c r="K905" s="3"/>
      <c r="L905" s="3"/>
      <c r="N905" s="10"/>
      <c r="O905" s="3"/>
      <c r="P905" s="3"/>
      <c r="Q905" s="3"/>
    </row>
    <row r="906" spans="5:17" x14ac:dyDescent="0.25">
      <c r="E906" s="2"/>
      <c r="G906" s="3"/>
      <c r="H906" s="3"/>
      <c r="I906" s="3"/>
      <c r="J906" s="3"/>
      <c r="K906" s="3"/>
      <c r="L906" s="3"/>
      <c r="N906" s="10"/>
      <c r="O906" s="3"/>
      <c r="P906" s="3"/>
      <c r="Q906" s="3"/>
    </row>
    <row r="907" spans="5:17" x14ac:dyDescent="0.25">
      <c r="E907" s="2"/>
      <c r="G907" s="3"/>
      <c r="H907" s="3"/>
      <c r="I907" s="3"/>
      <c r="J907" s="3"/>
      <c r="K907" s="3"/>
      <c r="L907" s="3"/>
      <c r="N907" s="10"/>
      <c r="O907" s="3"/>
      <c r="P907" s="3"/>
      <c r="Q907" s="3"/>
    </row>
    <row r="908" spans="5:17" x14ac:dyDescent="0.25">
      <c r="E908" s="2"/>
      <c r="G908" s="3"/>
      <c r="H908" s="3"/>
      <c r="I908" s="3"/>
      <c r="J908" s="3"/>
      <c r="K908" s="3"/>
      <c r="L908" s="3"/>
      <c r="N908" s="10"/>
      <c r="O908" s="3"/>
      <c r="P908" s="3"/>
      <c r="Q908" s="3"/>
    </row>
    <row r="909" spans="5:17" x14ac:dyDescent="0.25">
      <c r="E909" s="2"/>
      <c r="G909" s="3"/>
      <c r="H909" s="3"/>
      <c r="I909" s="3"/>
      <c r="J909" s="3"/>
      <c r="K909" s="3"/>
      <c r="L909" s="3"/>
      <c r="N909" s="10"/>
      <c r="O909" s="3"/>
      <c r="P909" s="3"/>
      <c r="Q909" s="3"/>
    </row>
    <row r="910" spans="5:17" x14ac:dyDescent="0.25">
      <c r="E910" s="2"/>
      <c r="G910" s="3"/>
      <c r="H910" s="3"/>
      <c r="I910" s="3"/>
      <c r="J910" s="3"/>
      <c r="K910" s="3"/>
      <c r="L910" s="3"/>
      <c r="N910" s="10"/>
      <c r="O910" s="3"/>
      <c r="P910" s="3"/>
      <c r="Q910" s="3"/>
    </row>
    <row r="911" spans="5:17" x14ac:dyDescent="0.25">
      <c r="E911" s="2"/>
      <c r="G911" s="3"/>
      <c r="H911" s="3"/>
      <c r="I911" s="3"/>
      <c r="J911" s="3"/>
      <c r="K911" s="3"/>
      <c r="L911" s="3"/>
      <c r="N911" s="10"/>
      <c r="O911" s="3"/>
      <c r="P911" s="3"/>
      <c r="Q911" s="3"/>
    </row>
    <row r="912" spans="5:17" x14ac:dyDescent="0.25">
      <c r="E912" s="2"/>
      <c r="G912" s="3"/>
      <c r="H912" s="3"/>
      <c r="I912" s="3"/>
      <c r="J912" s="3"/>
      <c r="K912" s="3"/>
      <c r="L912" s="3"/>
      <c r="N912" s="10"/>
      <c r="O912" s="3"/>
      <c r="P912" s="3"/>
      <c r="Q912" s="3"/>
    </row>
    <row r="913" spans="5:17" x14ac:dyDescent="0.25">
      <c r="E913" s="2"/>
      <c r="G913" s="3"/>
      <c r="H913" s="3"/>
      <c r="I913" s="3"/>
      <c r="J913" s="3"/>
      <c r="K913" s="3"/>
      <c r="L913" s="3"/>
      <c r="N913" s="10"/>
      <c r="O913" s="3"/>
      <c r="P913" s="3"/>
      <c r="Q913" s="3"/>
    </row>
    <row r="914" spans="5:17" x14ac:dyDescent="0.25">
      <c r="E914" s="2"/>
      <c r="G914" s="3"/>
      <c r="H914" s="3"/>
      <c r="I914" s="3"/>
      <c r="J914" s="3"/>
      <c r="K914" s="3"/>
      <c r="L914" s="3"/>
      <c r="N914" s="10"/>
      <c r="O914" s="3"/>
      <c r="P914" s="3"/>
      <c r="Q914" s="3"/>
    </row>
    <row r="915" spans="5:17" x14ac:dyDescent="0.25">
      <c r="E915" s="2"/>
      <c r="G915" s="3"/>
      <c r="H915" s="3"/>
      <c r="I915" s="3"/>
      <c r="J915" s="3"/>
      <c r="K915" s="3"/>
      <c r="L915" s="3"/>
      <c r="N915" s="10"/>
      <c r="O915" s="3"/>
      <c r="P915" s="3"/>
      <c r="Q915" s="3"/>
    </row>
    <row r="916" spans="5:17" x14ac:dyDescent="0.25">
      <c r="E916" s="2"/>
      <c r="G916" s="3"/>
      <c r="H916" s="3"/>
      <c r="I916" s="3"/>
      <c r="J916" s="3"/>
      <c r="K916" s="3"/>
      <c r="L916" s="3"/>
      <c r="N916" s="10"/>
      <c r="O916" s="3"/>
      <c r="P916" s="3"/>
      <c r="Q916" s="3"/>
    </row>
    <row r="917" spans="5:17" x14ac:dyDescent="0.25">
      <c r="E917" s="2"/>
      <c r="G917" s="3"/>
      <c r="H917" s="3"/>
      <c r="I917" s="3"/>
      <c r="J917" s="3"/>
      <c r="K917" s="3"/>
      <c r="L917" s="3"/>
      <c r="N917" s="10"/>
      <c r="O917" s="3"/>
      <c r="P917" s="3"/>
      <c r="Q917" s="3"/>
    </row>
    <row r="918" spans="5:17" x14ac:dyDescent="0.25">
      <c r="E918" s="2"/>
      <c r="G918" s="3"/>
      <c r="H918" s="3"/>
      <c r="I918" s="3"/>
      <c r="J918" s="3"/>
      <c r="K918" s="3"/>
      <c r="L918" s="3"/>
      <c r="N918" s="10"/>
      <c r="O918" s="3"/>
      <c r="P918" s="3"/>
      <c r="Q918" s="3"/>
    </row>
    <row r="919" spans="5:17" x14ac:dyDescent="0.25">
      <c r="E919" s="2"/>
      <c r="G919" s="3"/>
      <c r="H919" s="3"/>
      <c r="I919" s="3"/>
      <c r="J919" s="3"/>
      <c r="K919" s="3"/>
      <c r="L919" s="3"/>
      <c r="N919" s="10"/>
      <c r="O919" s="3"/>
      <c r="P919" s="3"/>
      <c r="Q919" s="3"/>
    </row>
    <row r="920" spans="5:17" x14ac:dyDescent="0.25">
      <c r="E920" s="2"/>
      <c r="G920" s="3"/>
      <c r="H920" s="3"/>
      <c r="I920" s="3"/>
      <c r="J920" s="3"/>
      <c r="K920" s="3"/>
      <c r="L920" s="3"/>
      <c r="N920" s="10"/>
      <c r="O920" s="3"/>
      <c r="P920" s="3"/>
      <c r="Q920" s="3"/>
    </row>
    <row r="921" spans="5:17" x14ac:dyDescent="0.25">
      <c r="E921" s="2"/>
      <c r="G921" s="3"/>
      <c r="H921" s="3"/>
      <c r="I921" s="3"/>
      <c r="J921" s="3"/>
      <c r="K921" s="3"/>
      <c r="L921" s="3"/>
      <c r="N921" s="10"/>
      <c r="O921" s="3"/>
      <c r="P921" s="3"/>
      <c r="Q921" s="3"/>
    </row>
    <row r="922" spans="5:17" x14ac:dyDescent="0.25">
      <c r="E922" s="2"/>
      <c r="G922" s="3"/>
      <c r="H922" s="3"/>
      <c r="I922" s="3"/>
      <c r="J922" s="3"/>
      <c r="K922" s="3"/>
      <c r="L922" s="3"/>
      <c r="N922" s="10"/>
      <c r="O922" s="3"/>
      <c r="P922" s="3"/>
      <c r="Q922" s="3"/>
    </row>
    <row r="923" spans="5:17" x14ac:dyDescent="0.25">
      <c r="E923" s="2"/>
      <c r="G923" s="3"/>
      <c r="H923" s="3"/>
      <c r="I923" s="3"/>
      <c r="J923" s="3"/>
      <c r="K923" s="3"/>
      <c r="L923" s="3"/>
      <c r="N923" s="10"/>
      <c r="O923" s="3"/>
      <c r="P923" s="3"/>
      <c r="Q923" s="3"/>
    </row>
    <row r="924" spans="5:17" x14ac:dyDescent="0.25">
      <c r="E924" s="2"/>
      <c r="G924" s="3"/>
      <c r="H924" s="3"/>
      <c r="I924" s="3"/>
      <c r="J924" s="3"/>
      <c r="K924" s="3"/>
      <c r="L924" s="3"/>
      <c r="N924" s="10"/>
      <c r="O924" s="3"/>
      <c r="P924" s="3"/>
      <c r="Q924" s="3"/>
    </row>
    <row r="925" spans="5:17" x14ac:dyDescent="0.25">
      <c r="E925" s="2"/>
      <c r="G925" s="3"/>
      <c r="H925" s="3"/>
      <c r="I925" s="3"/>
      <c r="J925" s="3"/>
      <c r="K925" s="3"/>
      <c r="L925" s="3"/>
      <c r="N925" s="10"/>
      <c r="O925" s="3"/>
      <c r="P925" s="3"/>
      <c r="Q925" s="3"/>
    </row>
    <row r="926" spans="5:17" x14ac:dyDescent="0.25">
      <c r="E926" s="2"/>
      <c r="G926" s="3"/>
      <c r="H926" s="3"/>
      <c r="I926" s="3"/>
      <c r="J926" s="3"/>
      <c r="K926" s="3"/>
      <c r="L926" s="3"/>
      <c r="N926" s="10"/>
      <c r="O926" s="3"/>
      <c r="P926" s="3"/>
      <c r="Q926" s="3"/>
    </row>
    <row r="927" spans="5:17" x14ac:dyDescent="0.25">
      <c r="E927" s="2"/>
      <c r="G927" s="3"/>
      <c r="H927" s="3"/>
      <c r="I927" s="3"/>
      <c r="J927" s="3"/>
      <c r="K927" s="3"/>
      <c r="L927" s="3"/>
      <c r="N927" s="10"/>
      <c r="O927" s="3"/>
      <c r="P927" s="3"/>
      <c r="Q927" s="3"/>
    </row>
    <row r="928" spans="5:17" x14ac:dyDescent="0.25">
      <c r="E928" s="2"/>
      <c r="G928" s="3"/>
      <c r="H928" s="3"/>
      <c r="I928" s="3"/>
      <c r="J928" s="3"/>
      <c r="K928" s="3"/>
      <c r="L928" s="3"/>
      <c r="N928" s="10"/>
      <c r="O928" s="3"/>
      <c r="P928" s="3"/>
      <c r="Q928" s="3"/>
    </row>
    <row r="929" spans="5:17" x14ac:dyDescent="0.25">
      <c r="E929" s="2"/>
      <c r="G929" s="3"/>
      <c r="H929" s="3"/>
      <c r="I929" s="3"/>
      <c r="J929" s="3"/>
      <c r="K929" s="3"/>
      <c r="L929" s="3"/>
      <c r="N929" s="10"/>
      <c r="O929" s="3"/>
      <c r="P929" s="3"/>
      <c r="Q929" s="3"/>
    </row>
    <row r="930" spans="5:17" x14ac:dyDescent="0.25">
      <c r="E930" s="2"/>
      <c r="G930" s="3"/>
      <c r="H930" s="3"/>
      <c r="I930" s="3"/>
      <c r="J930" s="3"/>
      <c r="K930" s="3"/>
      <c r="L930" s="3"/>
      <c r="N930" s="10"/>
      <c r="O930" s="3"/>
      <c r="P930" s="3"/>
      <c r="Q930" s="3"/>
    </row>
    <row r="931" spans="5:17" x14ac:dyDescent="0.25">
      <c r="E931" s="2"/>
      <c r="G931" s="3"/>
      <c r="H931" s="3"/>
      <c r="I931" s="3"/>
      <c r="J931" s="3"/>
      <c r="K931" s="3"/>
      <c r="L931" s="3"/>
      <c r="N931" s="10"/>
      <c r="O931" s="3"/>
      <c r="P931" s="3"/>
      <c r="Q931" s="3"/>
    </row>
    <row r="932" spans="5:17" x14ac:dyDescent="0.25">
      <c r="E932" s="2"/>
      <c r="G932" s="3"/>
      <c r="H932" s="3"/>
      <c r="I932" s="3"/>
      <c r="J932" s="3"/>
      <c r="K932" s="3"/>
      <c r="L932" s="3"/>
      <c r="N932" s="10"/>
      <c r="O932" s="3"/>
      <c r="P932" s="3"/>
      <c r="Q932" s="3"/>
    </row>
    <row r="933" spans="5:17" x14ac:dyDescent="0.25">
      <c r="E933" s="2"/>
      <c r="G933" s="3"/>
      <c r="H933" s="3"/>
      <c r="I933" s="3"/>
      <c r="J933" s="3"/>
      <c r="K933" s="3"/>
      <c r="L933" s="3"/>
      <c r="N933" s="10"/>
      <c r="O933" s="3"/>
      <c r="P933" s="3"/>
      <c r="Q933" s="3"/>
    </row>
    <row r="934" spans="5:17" x14ac:dyDescent="0.25">
      <c r="E934" s="2"/>
      <c r="G934" s="3"/>
      <c r="H934" s="3"/>
      <c r="I934" s="3"/>
      <c r="J934" s="3"/>
      <c r="K934" s="3"/>
      <c r="L934" s="3"/>
      <c r="N934" s="10"/>
      <c r="O934" s="3"/>
      <c r="P934" s="3"/>
      <c r="Q934" s="3"/>
    </row>
    <row r="935" spans="5:17" x14ac:dyDescent="0.25">
      <c r="E935" s="2"/>
      <c r="G935" s="3"/>
      <c r="H935" s="3"/>
      <c r="I935" s="3"/>
      <c r="J935" s="3"/>
      <c r="K935" s="3"/>
      <c r="L935" s="3"/>
      <c r="N935" s="10"/>
      <c r="O935" s="3"/>
      <c r="P935" s="3"/>
      <c r="Q935" s="3"/>
    </row>
    <row r="936" spans="5:17" x14ac:dyDescent="0.25">
      <c r="E936" s="2"/>
      <c r="G936" s="3"/>
      <c r="H936" s="3"/>
      <c r="I936" s="3"/>
      <c r="J936" s="3"/>
      <c r="K936" s="3"/>
      <c r="L936" s="3"/>
      <c r="N936" s="10"/>
      <c r="O936" s="3"/>
      <c r="P936" s="3"/>
      <c r="Q936" s="3"/>
    </row>
    <row r="937" spans="5:17" x14ac:dyDescent="0.25">
      <c r="E937" s="2"/>
      <c r="G937" s="3"/>
      <c r="H937" s="3"/>
      <c r="I937" s="3"/>
      <c r="J937" s="3"/>
      <c r="K937" s="3"/>
      <c r="L937" s="3"/>
      <c r="N937" s="10"/>
      <c r="O937" s="3"/>
      <c r="P937" s="3"/>
      <c r="Q937" s="3"/>
    </row>
    <row r="938" spans="5:17" x14ac:dyDescent="0.25">
      <c r="E938" s="2"/>
      <c r="G938" s="3"/>
      <c r="H938" s="3"/>
      <c r="I938" s="3"/>
      <c r="J938" s="3"/>
      <c r="K938" s="3"/>
      <c r="L938" s="3"/>
      <c r="N938" s="10"/>
      <c r="O938" s="3"/>
      <c r="P938" s="3"/>
      <c r="Q938" s="3"/>
    </row>
    <row r="939" spans="5:17" x14ac:dyDescent="0.25">
      <c r="E939" s="2"/>
      <c r="G939" s="3"/>
      <c r="H939" s="3"/>
      <c r="I939" s="3"/>
      <c r="J939" s="3"/>
      <c r="K939" s="3"/>
      <c r="L939" s="3"/>
      <c r="N939" s="10"/>
      <c r="O939" s="3"/>
      <c r="P939" s="3"/>
      <c r="Q939" s="3"/>
    </row>
    <row r="940" spans="5:17" x14ac:dyDescent="0.25">
      <c r="E940" s="2"/>
      <c r="G940" s="3"/>
      <c r="H940" s="3"/>
      <c r="I940" s="3"/>
      <c r="J940" s="3"/>
      <c r="K940" s="3"/>
      <c r="L940" s="3"/>
      <c r="N940" s="10"/>
      <c r="O940" s="3"/>
      <c r="P940" s="3"/>
      <c r="Q940" s="3"/>
    </row>
    <row r="941" spans="5:17" x14ac:dyDescent="0.25">
      <c r="E941" s="2"/>
      <c r="G941" s="3"/>
      <c r="H941" s="3"/>
      <c r="I941" s="3"/>
      <c r="J941" s="3"/>
      <c r="K941" s="3"/>
      <c r="L941" s="3"/>
      <c r="N941" s="10"/>
      <c r="O941" s="3"/>
      <c r="P941" s="3"/>
      <c r="Q941" s="3"/>
    </row>
    <row r="942" spans="5:17" x14ac:dyDescent="0.25">
      <c r="E942" s="2"/>
      <c r="G942" s="3"/>
      <c r="H942" s="3"/>
      <c r="I942" s="3"/>
      <c r="J942" s="3"/>
      <c r="K942" s="3"/>
      <c r="L942" s="3"/>
      <c r="N942" s="10"/>
      <c r="O942" s="3"/>
      <c r="P942" s="3"/>
      <c r="Q942" s="3"/>
    </row>
    <row r="943" spans="5:17" x14ac:dyDescent="0.25">
      <c r="E943" s="2"/>
      <c r="G943" s="3"/>
      <c r="H943" s="3"/>
      <c r="I943" s="3"/>
      <c r="J943" s="3"/>
      <c r="K943" s="3"/>
      <c r="L943" s="3"/>
      <c r="N943" s="10"/>
      <c r="O943" s="3"/>
      <c r="P943" s="3"/>
      <c r="Q943" s="3"/>
    </row>
    <row r="944" spans="5:17" x14ac:dyDescent="0.25">
      <c r="E944" s="2"/>
      <c r="G944" s="3"/>
      <c r="H944" s="3"/>
      <c r="I944" s="3"/>
      <c r="J944" s="3"/>
      <c r="K944" s="3"/>
      <c r="L944" s="3"/>
      <c r="N944" s="10"/>
      <c r="O944" s="3"/>
      <c r="P944" s="3"/>
      <c r="Q944" s="3"/>
    </row>
    <row r="945" spans="5:17" x14ac:dyDescent="0.25">
      <c r="E945" s="2"/>
      <c r="G945" s="3"/>
      <c r="H945" s="3"/>
      <c r="I945" s="3"/>
      <c r="J945" s="3"/>
      <c r="K945" s="3"/>
      <c r="L945" s="3"/>
      <c r="N945" s="10"/>
      <c r="O945" s="3"/>
      <c r="P945" s="3"/>
      <c r="Q945" s="3"/>
    </row>
    <row r="946" spans="5:17" x14ac:dyDescent="0.25">
      <c r="E946" s="2"/>
      <c r="G946" s="3"/>
      <c r="H946" s="3"/>
      <c r="I946" s="3"/>
      <c r="J946" s="3"/>
      <c r="K946" s="3"/>
      <c r="L946" s="3"/>
      <c r="N946" s="10"/>
      <c r="O946" s="3"/>
      <c r="P946" s="3"/>
      <c r="Q946" s="3"/>
    </row>
    <row r="947" spans="5:17" x14ac:dyDescent="0.25">
      <c r="E947" s="2"/>
      <c r="G947" s="3"/>
      <c r="H947" s="3"/>
      <c r="I947" s="3"/>
      <c r="J947" s="3"/>
      <c r="K947" s="3"/>
      <c r="L947" s="3"/>
      <c r="N947" s="10"/>
      <c r="O947" s="3"/>
      <c r="P947" s="3"/>
      <c r="Q947" s="3"/>
    </row>
    <row r="948" spans="5:17" x14ac:dyDescent="0.25">
      <c r="E948" s="2"/>
      <c r="G948" s="3"/>
      <c r="H948" s="3"/>
      <c r="I948" s="3"/>
      <c r="J948" s="3"/>
      <c r="K948" s="3"/>
      <c r="L948" s="3"/>
      <c r="N948" s="10"/>
      <c r="O948" s="3"/>
      <c r="P948" s="3"/>
      <c r="Q948" s="3"/>
    </row>
    <row r="949" spans="5:17" x14ac:dyDescent="0.25">
      <c r="E949" s="2"/>
      <c r="G949" s="3"/>
      <c r="H949" s="3"/>
      <c r="I949" s="3"/>
      <c r="J949" s="3"/>
      <c r="K949" s="3"/>
      <c r="L949" s="3"/>
      <c r="N949" s="10"/>
      <c r="O949" s="3"/>
      <c r="P949" s="3"/>
      <c r="Q949" s="3"/>
    </row>
    <row r="950" spans="5:17" x14ac:dyDescent="0.25">
      <c r="E950" s="2"/>
      <c r="G950" s="3"/>
      <c r="H950" s="3"/>
      <c r="I950" s="3"/>
      <c r="J950" s="3"/>
      <c r="K950" s="3"/>
      <c r="L950" s="3"/>
      <c r="N950" s="10"/>
      <c r="O950" s="3"/>
      <c r="P950" s="3"/>
      <c r="Q950" s="3"/>
    </row>
    <row r="951" spans="5:17" x14ac:dyDescent="0.25">
      <c r="E951" s="2"/>
      <c r="G951" s="3"/>
      <c r="H951" s="3"/>
      <c r="I951" s="3"/>
      <c r="J951" s="3"/>
      <c r="K951" s="3"/>
      <c r="L951" s="3"/>
      <c r="N951" s="10"/>
      <c r="O951" s="3"/>
      <c r="P951" s="3"/>
      <c r="Q951" s="3"/>
    </row>
    <row r="952" spans="5:17" x14ac:dyDescent="0.25">
      <c r="E952" s="2"/>
      <c r="G952" s="3"/>
      <c r="H952" s="3"/>
      <c r="I952" s="3"/>
      <c r="J952" s="3"/>
      <c r="K952" s="3"/>
      <c r="L952" s="3"/>
      <c r="N952" s="10"/>
      <c r="O952" s="3"/>
      <c r="P952" s="3"/>
      <c r="Q952" s="3"/>
    </row>
    <row r="953" spans="5:17" x14ac:dyDescent="0.25">
      <c r="E953" s="2"/>
      <c r="G953" s="3"/>
      <c r="H953" s="3"/>
      <c r="I953" s="3"/>
      <c r="J953" s="3"/>
      <c r="K953" s="3"/>
      <c r="L953" s="3"/>
      <c r="N953" s="10"/>
      <c r="O953" s="3"/>
      <c r="P953" s="3"/>
      <c r="Q953" s="3"/>
    </row>
    <row r="954" spans="5:17" x14ac:dyDescent="0.25">
      <c r="E954" s="2"/>
      <c r="G954" s="3"/>
      <c r="H954" s="3"/>
      <c r="I954" s="3"/>
      <c r="J954" s="3"/>
      <c r="K954" s="3"/>
      <c r="L954" s="3"/>
      <c r="N954" s="10"/>
      <c r="O954" s="3"/>
      <c r="P954" s="3"/>
      <c r="Q954" s="3"/>
    </row>
    <row r="955" spans="5:17" x14ac:dyDescent="0.25">
      <c r="E955" s="2"/>
      <c r="G955" s="3"/>
      <c r="H955" s="3"/>
      <c r="I955" s="3"/>
      <c r="J955" s="3"/>
      <c r="K955" s="3"/>
      <c r="L955" s="3"/>
      <c r="N955" s="10"/>
      <c r="O955" s="3"/>
      <c r="P955" s="3"/>
      <c r="Q955" s="3"/>
    </row>
    <row r="956" spans="5:17" x14ac:dyDescent="0.25">
      <c r="E956" s="2"/>
      <c r="G956" s="3"/>
      <c r="H956" s="3"/>
      <c r="I956" s="3"/>
      <c r="J956" s="3"/>
      <c r="K956" s="3"/>
      <c r="L956" s="3"/>
      <c r="N956" s="10"/>
      <c r="O956" s="3"/>
      <c r="P956" s="3"/>
      <c r="Q956" s="3"/>
    </row>
    <row r="957" spans="5:17" x14ac:dyDescent="0.25">
      <c r="E957" s="2"/>
      <c r="G957" s="3"/>
      <c r="H957" s="3"/>
      <c r="I957" s="3"/>
      <c r="J957" s="3"/>
      <c r="K957" s="3"/>
      <c r="L957" s="3"/>
      <c r="N957" s="10"/>
      <c r="O957" s="3"/>
      <c r="P957" s="3"/>
      <c r="Q957" s="3"/>
    </row>
    <row r="958" spans="5:17" x14ac:dyDescent="0.25">
      <c r="E958" s="2"/>
      <c r="G958" s="3"/>
      <c r="H958" s="3"/>
      <c r="I958" s="3"/>
      <c r="J958" s="3"/>
      <c r="K958" s="3"/>
      <c r="L958" s="3"/>
      <c r="N958" s="10"/>
      <c r="O958" s="3"/>
      <c r="P958" s="3"/>
      <c r="Q958" s="3"/>
    </row>
    <row r="959" spans="5:17" x14ac:dyDescent="0.25">
      <c r="E959" s="2"/>
      <c r="G959" s="3"/>
      <c r="H959" s="3"/>
      <c r="I959" s="3"/>
      <c r="J959" s="3"/>
      <c r="K959" s="3"/>
      <c r="L959" s="3"/>
      <c r="N959" s="10"/>
      <c r="O959" s="3"/>
      <c r="P959" s="3"/>
      <c r="Q959" s="3"/>
    </row>
    <row r="960" spans="5:17" x14ac:dyDescent="0.25">
      <c r="E960" s="2"/>
      <c r="G960" s="3"/>
      <c r="H960" s="3"/>
      <c r="I960" s="3"/>
      <c r="J960" s="3"/>
      <c r="K960" s="3"/>
      <c r="L960" s="3"/>
      <c r="N960" s="10"/>
      <c r="O960" s="3"/>
      <c r="P960" s="3"/>
      <c r="Q960" s="3"/>
    </row>
    <row r="961" spans="5:17" x14ac:dyDescent="0.25">
      <c r="E961" s="2"/>
      <c r="G961" s="3"/>
      <c r="H961" s="3"/>
      <c r="I961" s="3"/>
      <c r="J961" s="3"/>
      <c r="K961" s="3"/>
      <c r="L961" s="3"/>
      <c r="N961" s="10"/>
      <c r="O961" s="3"/>
      <c r="P961" s="3"/>
      <c r="Q961" s="3"/>
    </row>
    <row r="962" spans="5:17" x14ac:dyDescent="0.25">
      <c r="E962" s="2"/>
      <c r="G962" s="3"/>
      <c r="H962" s="3"/>
      <c r="I962" s="3"/>
      <c r="J962" s="3"/>
      <c r="K962" s="3"/>
      <c r="L962" s="3"/>
      <c r="N962" s="10"/>
      <c r="O962" s="3"/>
      <c r="P962" s="3"/>
      <c r="Q962" s="3"/>
    </row>
    <row r="963" spans="5:17" x14ac:dyDescent="0.25">
      <c r="E963" s="2"/>
      <c r="G963" s="3"/>
      <c r="H963" s="3"/>
      <c r="I963" s="3"/>
      <c r="J963" s="3"/>
      <c r="K963" s="3"/>
      <c r="L963" s="3"/>
      <c r="N963" s="10"/>
      <c r="O963" s="3"/>
      <c r="P963" s="3"/>
      <c r="Q963" s="3"/>
    </row>
    <row r="964" spans="5:17" x14ac:dyDescent="0.25">
      <c r="E964" s="2"/>
      <c r="G964" s="3"/>
      <c r="H964" s="3"/>
      <c r="I964" s="3"/>
      <c r="J964" s="3"/>
      <c r="K964" s="3"/>
      <c r="L964" s="3"/>
      <c r="N964" s="10"/>
      <c r="O964" s="3"/>
      <c r="P964" s="3"/>
      <c r="Q964" s="3"/>
    </row>
    <row r="965" spans="5:17" x14ac:dyDescent="0.25">
      <c r="E965" s="2"/>
      <c r="G965" s="3"/>
      <c r="H965" s="3"/>
      <c r="I965" s="3"/>
      <c r="J965" s="3"/>
      <c r="K965" s="3"/>
      <c r="L965" s="3"/>
      <c r="N965" s="10"/>
      <c r="O965" s="3"/>
      <c r="P965" s="3"/>
      <c r="Q965" s="3"/>
    </row>
    <row r="966" spans="5:17" x14ac:dyDescent="0.25">
      <c r="E966" s="2"/>
      <c r="G966" s="3"/>
      <c r="H966" s="3"/>
      <c r="I966" s="3"/>
      <c r="J966" s="3"/>
      <c r="K966" s="3"/>
      <c r="L966" s="3"/>
      <c r="N966" s="10"/>
      <c r="O966" s="3"/>
      <c r="P966" s="3"/>
      <c r="Q966" s="3"/>
    </row>
    <row r="967" spans="5:17" x14ac:dyDescent="0.25">
      <c r="E967" s="2"/>
      <c r="G967" s="3"/>
      <c r="H967" s="3"/>
      <c r="I967" s="3"/>
      <c r="J967" s="3"/>
      <c r="K967" s="3"/>
      <c r="L967" s="3"/>
      <c r="N967" s="10"/>
      <c r="O967" s="3"/>
      <c r="P967" s="3"/>
      <c r="Q967" s="3"/>
    </row>
    <row r="968" spans="5:17" x14ac:dyDescent="0.25">
      <c r="E968" s="2"/>
      <c r="G968" s="3"/>
      <c r="H968" s="3"/>
      <c r="I968" s="3"/>
      <c r="J968" s="3"/>
      <c r="K968" s="3"/>
      <c r="L968" s="3"/>
      <c r="N968" s="10"/>
      <c r="O968" s="3"/>
      <c r="P968" s="3"/>
      <c r="Q968" s="3"/>
    </row>
    <row r="969" spans="5:17" x14ac:dyDescent="0.25">
      <c r="E969" s="2"/>
      <c r="G969" s="3"/>
      <c r="H969" s="3"/>
      <c r="I969" s="3"/>
      <c r="J969" s="3"/>
      <c r="K969" s="3"/>
      <c r="L969" s="3"/>
      <c r="N969" s="10"/>
      <c r="O969" s="3"/>
      <c r="P969" s="3"/>
      <c r="Q969" s="3"/>
    </row>
    <row r="970" spans="5:17" x14ac:dyDescent="0.25">
      <c r="E970" s="2"/>
      <c r="G970" s="3"/>
      <c r="H970" s="3"/>
      <c r="I970" s="3"/>
      <c r="J970" s="3"/>
      <c r="K970" s="3"/>
      <c r="L970" s="3"/>
      <c r="N970" s="10"/>
      <c r="O970" s="3"/>
      <c r="P970" s="3"/>
      <c r="Q970" s="3"/>
    </row>
    <row r="971" spans="5:17" x14ac:dyDescent="0.25">
      <c r="E971" s="2"/>
      <c r="G971" s="3"/>
      <c r="H971" s="3"/>
      <c r="I971" s="3"/>
      <c r="J971" s="3"/>
      <c r="K971" s="3"/>
      <c r="L971" s="3"/>
      <c r="N971" s="10"/>
      <c r="O971" s="3"/>
      <c r="P971" s="3"/>
      <c r="Q971" s="3"/>
    </row>
    <row r="972" spans="5:17" x14ac:dyDescent="0.25">
      <c r="E972" s="2"/>
      <c r="G972" s="3"/>
      <c r="H972" s="3"/>
      <c r="I972" s="3"/>
      <c r="J972" s="3"/>
      <c r="K972" s="3"/>
      <c r="L972" s="3"/>
      <c r="N972" s="10"/>
      <c r="O972" s="3"/>
      <c r="P972" s="3"/>
      <c r="Q972" s="3"/>
    </row>
    <row r="973" spans="5:17" x14ac:dyDescent="0.25">
      <c r="E973" s="2"/>
      <c r="G973" s="3"/>
      <c r="H973" s="3"/>
      <c r="I973" s="3"/>
      <c r="J973" s="3"/>
      <c r="K973" s="3"/>
      <c r="L973" s="3"/>
      <c r="N973" s="10"/>
      <c r="O973" s="3"/>
      <c r="P973" s="3"/>
      <c r="Q973" s="3"/>
    </row>
    <row r="974" spans="5:17" x14ac:dyDescent="0.25">
      <c r="E974" s="2"/>
      <c r="G974" s="3"/>
      <c r="H974" s="3"/>
      <c r="I974" s="3"/>
      <c r="J974" s="3"/>
      <c r="K974" s="3"/>
      <c r="L974" s="3"/>
      <c r="N974" s="10"/>
      <c r="O974" s="3"/>
      <c r="P974" s="3"/>
      <c r="Q974" s="3"/>
    </row>
    <row r="975" spans="5:17" x14ac:dyDescent="0.25">
      <c r="E975" s="2"/>
      <c r="G975" s="3"/>
      <c r="H975" s="3"/>
      <c r="I975" s="3"/>
      <c r="J975" s="3"/>
      <c r="K975" s="3"/>
      <c r="L975" s="3"/>
      <c r="N975" s="10"/>
      <c r="O975" s="3"/>
      <c r="P975" s="3"/>
      <c r="Q975" s="3"/>
    </row>
    <row r="976" spans="5:17" x14ac:dyDescent="0.25">
      <c r="E976" s="2"/>
      <c r="G976" s="3"/>
      <c r="H976" s="3"/>
      <c r="I976" s="3"/>
      <c r="J976" s="3"/>
      <c r="K976" s="3"/>
      <c r="L976" s="3"/>
      <c r="N976" s="10"/>
      <c r="O976" s="3"/>
      <c r="P976" s="3"/>
      <c r="Q976" s="3"/>
    </row>
    <row r="977" spans="5:17" x14ac:dyDescent="0.25">
      <c r="E977" s="2"/>
      <c r="G977" s="3"/>
      <c r="H977" s="3"/>
      <c r="I977" s="3"/>
      <c r="J977" s="3"/>
      <c r="K977" s="3"/>
      <c r="L977" s="3"/>
      <c r="N977" s="10"/>
      <c r="O977" s="3"/>
      <c r="P977" s="3"/>
      <c r="Q977" s="3"/>
    </row>
    <row r="978" spans="5:17" x14ac:dyDescent="0.25">
      <c r="E978" s="2"/>
      <c r="G978" s="3"/>
      <c r="H978" s="3"/>
      <c r="I978" s="3"/>
      <c r="J978" s="3"/>
      <c r="K978" s="3"/>
      <c r="L978" s="3"/>
      <c r="N978" s="10"/>
      <c r="O978" s="3"/>
      <c r="P978" s="3"/>
      <c r="Q978" s="3"/>
    </row>
    <row r="979" spans="5:17" x14ac:dyDescent="0.25">
      <c r="E979" s="2"/>
      <c r="G979" s="3"/>
      <c r="H979" s="3"/>
      <c r="I979" s="3"/>
      <c r="J979" s="3"/>
      <c r="K979" s="3"/>
      <c r="L979" s="3"/>
      <c r="N979" s="10"/>
      <c r="O979" s="3"/>
      <c r="P979" s="3"/>
      <c r="Q979" s="3"/>
    </row>
    <row r="980" spans="5:17" x14ac:dyDescent="0.25">
      <c r="E980" s="2"/>
      <c r="G980" s="3"/>
      <c r="H980" s="3"/>
      <c r="I980" s="3"/>
      <c r="J980" s="3"/>
      <c r="K980" s="3"/>
      <c r="L980" s="3"/>
      <c r="N980" s="10"/>
      <c r="O980" s="3"/>
      <c r="P980" s="3"/>
      <c r="Q980" s="3"/>
    </row>
    <row r="981" spans="5:17" x14ac:dyDescent="0.25">
      <c r="E981" s="2"/>
      <c r="G981" s="3"/>
      <c r="H981" s="3"/>
      <c r="I981" s="3"/>
      <c r="J981" s="3"/>
      <c r="K981" s="3"/>
      <c r="L981" s="3"/>
      <c r="N981" s="10"/>
      <c r="O981" s="3"/>
      <c r="P981" s="3"/>
      <c r="Q981" s="3"/>
    </row>
    <row r="982" spans="5:17" x14ac:dyDescent="0.25">
      <c r="E982" s="2"/>
      <c r="G982" s="3"/>
      <c r="H982" s="3"/>
      <c r="I982" s="3"/>
      <c r="J982" s="3"/>
      <c r="K982" s="3"/>
      <c r="L982" s="3"/>
      <c r="N982" s="10"/>
      <c r="O982" s="3"/>
      <c r="P982" s="3"/>
      <c r="Q982" s="3"/>
    </row>
    <row r="983" spans="5:17" x14ac:dyDescent="0.25">
      <c r="E983" s="2"/>
      <c r="G983" s="3"/>
      <c r="H983" s="3"/>
      <c r="I983" s="3"/>
      <c r="J983" s="3"/>
      <c r="K983" s="3"/>
      <c r="L983" s="3"/>
      <c r="N983" s="10"/>
      <c r="O983" s="3"/>
      <c r="P983" s="3"/>
      <c r="Q983" s="3"/>
    </row>
    <row r="984" spans="5:17" x14ac:dyDescent="0.25">
      <c r="E984" s="2"/>
      <c r="G984" s="3"/>
      <c r="H984" s="3"/>
      <c r="I984" s="3"/>
      <c r="J984" s="3"/>
      <c r="K984" s="3"/>
      <c r="L984" s="3"/>
      <c r="N984" s="10"/>
      <c r="O984" s="3"/>
      <c r="P984" s="3"/>
      <c r="Q984" s="3"/>
    </row>
    <row r="985" spans="5:17" x14ac:dyDescent="0.25">
      <c r="E985" s="2"/>
      <c r="G985" s="3"/>
      <c r="H985" s="3"/>
      <c r="I985" s="3"/>
      <c r="J985" s="3"/>
      <c r="K985" s="3"/>
      <c r="L985" s="3"/>
      <c r="N985" s="10"/>
      <c r="O985" s="3"/>
      <c r="P985" s="3"/>
      <c r="Q985" s="3"/>
    </row>
    <row r="986" spans="5:17" x14ac:dyDescent="0.25">
      <c r="E986" s="2"/>
      <c r="G986" s="3"/>
      <c r="H986" s="3"/>
      <c r="I986" s="3"/>
      <c r="J986" s="3"/>
      <c r="K986" s="3"/>
      <c r="L986" s="3"/>
      <c r="N986" s="10"/>
      <c r="O986" s="3"/>
      <c r="P986" s="3"/>
      <c r="Q986" s="3"/>
    </row>
    <row r="987" spans="5:17" x14ac:dyDescent="0.25">
      <c r="E987" s="2"/>
      <c r="G987" s="3"/>
      <c r="H987" s="3"/>
      <c r="I987" s="3"/>
      <c r="J987" s="3"/>
      <c r="K987" s="3"/>
      <c r="L987" s="3"/>
      <c r="N987" s="10"/>
      <c r="O987" s="3"/>
      <c r="P987" s="3"/>
      <c r="Q987" s="3"/>
    </row>
    <row r="988" spans="5:17" x14ac:dyDescent="0.25">
      <c r="E988" s="2"/>
      <c r="G988" s="3"/>
      <c r="H988" s="3"/>
      <c r="I988" s="3"/>
      <c r="J988" s="3"/>
      <c r="K988" s="3"/>
      <c r="L988" s="3"/>
      <c r="N988" s="10"/>
      <c r="O988" s="3"/>
      <c r="P988" s="3"/>
      <c r="Q988" s="3"/>
    </row>
    <row r="989" spans="5:17" x14ac:dyDescent="0.25">
      <c r="E989" s="2"/>
      <c r="G989" s="3"/>
      <c r="H989" s="3"/>
      <c r="I989" s="3"/>
      <c r="J989" s="3"/>
      <c r="K989" s="3"/>
      <c r="L989" s="3"/>
      <c r="N989" s="10"/>
      <c r="O989" s="3"/>
      <c r="P989" s="3"/>
      <c r="Q989" s="3"/>
    </row>
    <row r="990" spans="5:17" x14ac:dyDescent="0.25">
      <c r="E990" s="2"/>
      <c r="G990" s="3"/>
      <c r="H990" s="3"/>
      <c r="I990" s="3"/>
      <c r="J990" s="3"/>
      <c r="K990" s="3"/>
      <c r="L990" s="3"/>
      <c r="N990" s="10"/>
      <c r="O990" s="3"/>
      <c r="P990" s="3"/>
      <c r="Q990" s="3"/>
    </row>
    <row r="991" spans="5:17" x14ac:dyDescent="0.25">
      <c r="E991" s="2"/>
      <c r="G991" s="3"/>
      <c r="H991" s="3"/>
      <c r="I991" s="3"/>
      <c r="J991" s="3"/>
      <c r="K991" s="3"/>
      <c r="L991" s="3"/>
      <c r="N991" s="10"/>
      <c r="O991" s="3"/>
      <c r="P991" s="3"/>
      <c r="Q991" s="3"/>
    </row>
    <row r="992" spans="5:17" x14ac:dyDescent="0.25">
      <c r="E992" s="2"/>
      <c r="G992" s="3"/>
      <c r="H992" s="3"/>
      <c r="I992" s="3"/>
      <c r="J992" s="3"/>
      <c r="K992" s="3"/>
      <c r="L992" s="3"/>
      <c r="N992" s="10"/>
      <c r="O992" s="3"/>
      <c r="P992" s="3"/>
      <c r="Q992" s="3"/>
    </row>
    <row r="993" spans="5:17" x14ac:dyDescent="0.25">
      <c r="E993" s="2"/>
      <c r="G993" s="3"/>
      <c r="H993" s="3"/>
      <c r="I993" s="3"/>
      <c r="J993" s="3"/>
      <c r="K993" s="3"/>
      <c r="L993" s="3"/>
      <c r="N993" s="10"/>
      <c r="O993" s="3"/>
      <c r="P993" s="3"/>
      <c r="Q993" s="3"/>
    </row>
    <row r="994" spans="5:17" x14ac:dyDescent="0.25">
      <c r="E994" s="2"/>
      <c r="G994" s="3"/>
      <c r="H994" s="3"/>
      <c r="I994" s="3"/>
      <c r="J994" s="3"/>
      <c r="K994" s="3"/>
      <c r="L994" s="3"/>
      <c r="N994" s="10"/>
      <c r="O994" s="3"/>
      <c r="P994" s="3"/>
      <c r="Q994" s="3"/>
    </row>
    <row r="995" spans="5:17" x14ac:dyDescent="0.25">
      <c r="E995" s="2"/>
      <c r="G995" s="3"/>
      <c r="H995" s="3"/>
      <c r="I995" s="3"/>
      <c r="J995" s="3"/>
      <c r="K995" s="3"/>
      <c r="L995" s="3"/>
      <c r="N995" s="10"/>
      <c r="O995" s="3"/>
      <c r="P995" s="3"/>
      <c r="Q995" s="3"/>
    </row>
    <row r="996" spans="5:17" x14ac:dyDescent="0.25">
      <c r="E996" s="2"/>
      <c r="G996" s="3"/>
      <c r="H996" s="3"/>
      <c r="I996" s="3"/>
      <c r="J996" s="3"/>
      <c r="K996" s="3"/>
      <c r="L996" s="3"/>
      <c r="N996" s="10"/>
      <c r="O996" s="3"/>
      <c r="P996" s="3"/>
      <c r="Q996" s="3"/>
    </row>
    <row r="997" spans="5:17" x14ac:dyDescent="0.25">
      <c r="E997" s="2"/>
      <c r="G997" s="3"/>
      <c r="H997" s="3"/>
      <c r="I997" s="3"/>
      <c r="J997" s="3"/>
      <c r="K997" s="3"/>
      <c r="L997" s="3"/>
      <c r="N997" s="10"/>
      <c r="O997" s="3"/>
      <c r="P997" s="3"/>
      <c r="Q997" s="3"/>
    </row>
    <row r="998" spans="5:17" x14ac:dyDescent="0.25">
      <c r="E998" s="2"/>
      <c r="G998" s="3"/>
      <c r="H998" s="3"/>
      <c r="I998" s="3"/>
      <c r="J998" s="3"/>
      <c r="K998" s="3"/>
      <c r="L998" s="3"/>
      <c r="N998" s="10"/>
      <c r="O998" s="3"/>
      <c r="P998" s="3"/>
      <c r="Q998" s="3"/>
    </row>
    <row r="999" spans="5:17" x14ac:dyDescent="0.25">
      <c r="E999" s="2"/>
      <c r="G999" s="3"/>
      <c r="H999" s="3"/>
      <c r="I999" s="3"/>
      <c r="J999" s="3"/>
      <c r="K999" s="3"/>
      <c r="L999" s="3"/>
      <c r="N999" s="10"/>
      <c r="O999" s="3"/>
      <c r="P999" s="3"/>
      <c r="Q999" s="3"/>
    </row>
    <row r="1000" spans="5:17" x14ac:dyDescent="0.25">
      <c r="E1000" s="2"/>
      <c r="G1000" s="3"/>
      <c r="H1000" s="3"/>
      <c r="I1000" s="3"/>
      <c r="J1000" s="3"/>
      <c r="K1000" s="3"/>
      <c r="L1000" s="3"/>
      <c r="N1000" s="10"/>
      <c r="O1000" s="3"/>
      <c r="P1000" s="3"/>
      <c r="Q1000" s="3"/>
    </row>
    <row r="1001" spans="5:17" x14ac:dyDescent="0.25">
      <c r="E1001" s="2"/>
      <c r="G1001" s="3"/>
      <c r="H1001" s="3"/>
      <c r="I1001" s="3"/>
      <c r="J1001" s="3"/>
      <c r="K1001" s="3"/>
      <c r="L1001" s="3"/>
      <c r="N1001" s="10"/>
      <c r="O1001" s="3"/>
      <c r="P1001" s="3"/>
      <c r="Q1001" s="3"/>
    </row>
    <row r="1002" spans="5:17" x14ac:dyDescent="0.25">
      <c r="E1002" s="2"/>
      <c r="G1002" s="3"/>
      <c r="H1002" s="3"/>
      <c r="I1002" s="3"/>
      <c r="J1002" s="3"/>
      <c r="K1002" s="3"/>
      <c r="L1002" s="3"/>
      <c r="N1002" s="10"/>
      <c r="O1002" s="3"/>
      <c r="P1002" s="3"/>
      <c r="Q1002" s="3"/>
    </row>
    <row r="1003" spans="5:17" x14ac:dyDescent="0.25">
      <c r="E1003" s="2"/>
      <c r="G1003" s="3"/>
      <c r="H1003" s="3"/>
      <c r="I1003" s="3"/>
      <c r="J1003" s="3"/>
      <c r="K1003" s="3"/>
      <c r="L1003" s="3"/>
      <c r="N1003" s="10"/>
      <c r="O1003" s="3"/>
      <c r="P1003" s="3"/>
      <c r="Q1003" s="3"/>
    </row>
    <row r="1004" spans="5:17" x14ac:dyDescent="0.25">
      <c r="E1004" s="2"/>
      <c r="G1004" s="3"/>
      <c r="H1004" s="3"/>
      <c r="I1004" s="3"/>
      <c r="J1004" s="3"/>
      <c r="K1004" s="3"/>
      <c r="L1004" s="3"/>
      <c r="N1004" s="10"/>
      <c r="O1004" s="3"/>
      <c r="P1004" s="3"/>
      <c r="Q1004" s="3"/>
    </row>
    <row r="1005" spans="5:17" x14ac:dyDescent="0.25">
      <c r="E1005" s="2"/>
      <c r="G1005" s="3"/>
      <c r="H1005" s="3"/>
      <c r="I1005" s="3"/>
      <c r="J1005" s="3"/>
      <c r="K1005" s="3"/>
      <c r="L1005" s="3"/>
      <c r="N1005" s="10"/>
      <c r="O1005" s="3"/>
      <c r="P1005" s="3"/>
      <c r="Q1005" s="3"/>
    </row>
    <row r="1006" spans="5:17" x14ac:dyDescent="0.25">
      <c r="E1006" s="2"/>
      <c r="G1006" s="3"/>
      <c r="H1006" s="3"/>
      <c r="I1006" s="3"/>
      <c r="J1006" s="3"/>
      <c r="K1006" s="3"/>
      <c r="L1006" s="3"/>
      <c r="N1006" s="10"/>
      <c r="O1006" s="3"/>
      <c r="P1006" s="3"/>
      <c r="Q1006" s="3"/>
    </row>
    <row r="1007" spans="5:17" x14ac:dyDescent="0.25">
      <c r="E1007" s="2"/>
      <c r="G1007" s="3"/>
      <c r="H1007" s="3"/>
      <c r="I1007" s="3"/>
      <c r="J1007" s="3"/>
      <c r="K1007" s="3"/>
      <c r="L1007" s="3"/>
      <c r="N1007" s="10"/>
      <c r="O1007" s="3"/>
      <c r="P1007" s="3"/>
      <c r="Q1007" s="3"/>
    </row>
    <row r="1008" spans="5:17" x14ac:dyDescent="0.25">
      <c r="E1008" s="2"/>
      <c r="G1008" s="3"/>
      <c r="H1008" s="3"/>
      <c r="I1008" s="3"/>
      <c r="J1008" s="3"/>
      <c r="K1008" s="3"/>
      <c r="L1008" s="3"/>
      <c r="N1008" s="10"/>
      <c r="O1008" s="3"/>
      <c r="P1008" s="3"/>
      <c r="Q1008" s="3"/>
    </row>
    <row r="1009" spans="5:17" x14ac:dyDescent="0.25">
      <c r="E1009" s="2"/>
      <c r="G1009" s="3"/>
      <c r="H1009" s="3"/>
      <c r="I1009" s="3"/>
      <c r="J1009" s="3"/>
      <c r="K1009" s="3"/>
      <c r="L1009" s="3"/>
      <c r="N1009" s="10"/>
      <c r="O1009" s="3"/>
      <c r="P1009" s="3"/>
      <c r="Q1009" s="3"/>
    </row>
    <row r="1010" spans="5:17" x14ac:dyDescent="0.25">
      <c r="E1010" s="2"/>
      <c r="G1010" s="3"/>
      <c r="H1010" s="3"/>
      <c r="I1010" s="3"/>
      <c r="J1010" s="3"/>
      <c r="K1010" s="3"/>
      <c r="L1010" s="3"/>
      <c r="N1010" s="10"/>
      <c r="O1010" s="3"/>
      <c r="P1010" s="3"/>
      <c r="Q1010" s="3"/>
    </row>
    <row r="1011" spans="5:17" x14ac:dyDescent="0.25">
      <c r="E1011" s="2"/>
      <c r="G1011" s="3"/>
      <c r="H1011" s="3"/>
      <c r="I1011" s="3"/>
      <c r="J1011" s="3"/>
      <c r="K1011" s="3"/>
      <c r="L1011" s="3"/>
      <c r="N1011" s="10"/>
      <c r="O1011" s="3"/>
      <c r="P1011" s="3"/>
      <c r="Q1011" s="3"/>
    </row>
    <row r="1012" spans="5:17" x14ac:dyDescent="0.25">
      <c r="E1012" s="2"/>
      <c r="G1012" s="3"/>
      <c r="H1012" s="3"/>
      <c r="I1012" s="3"/>
      <c r="J1012" s="3"/>
      <c r="K1012" s="3"/>
      <c r="L1012" s="3"/>
      <c r="N1012" s="10"/>
      <c r="O1012" s="3"/>
      <c r="P1012" s="3"/>
      <c r="Q1012" s="3"/>
    </row>
    <row r="1013" spans="5:17" x14ac:dyDescent="0.25">
      <c r="E1013" s="2"/>
      <c r="G1013" s="3"/>
      <c r="H1013" s="3"/>
      <c r="I1013" s="3"/>
      <c r="J1013" s="3"/>
      <c r="K1013" s="3"/>
      <c r="L1013" s="3"/>
      <c r="N1013" s="10"/>
      <c r="O1013" s="3"/>
      <c r="P1013" s="3"/>
      <c r="Q1013" s="3"/>
    </row>
    <row r="1014" spans="5:17" x14ac:dyDescent="0.25">
      <c r="E1014" s="2"/>
      <c r="G1014" s="3"/>
      <c r="H1014" s="3"/>
      <c r="I1014" s="3"/>
      <c r="J1014" s="3"/>
      <c r="K1014" s="3"/>
      <c r="L1014" s="3"/>
      <c r="N1014" s="10"/>
      <c r="O1014" s="3"/>
      <c r="P1014" s="3"/>
      <c r="Q1014" s="3"/>
    </row>
    <row r="1015" spans="5:17" x14ac:dyDescent="0.25">
      <c r="E1015" s="2"/>
      <c r="G1015" s="3"/>
      <c r="H1015" s="3"/>
      <c r="I1015" s="3"/>
      <c r="J1015" s="3"/>
      <c r="K1015" s="3"/>
      <c r="L1015" s="3"/>
      <c r="N1015" s="10"/>
      <c r="O1015" s="3"/>
      <c r="P1015" s="3"/>
      <c r="Q1015" s="3"/>
    </row>
    <row r="1016" spans="5:17" x14ac:dyDescent="0.25">
      <c r="E1016" s="2"/>
      <c r="G1016" s="3"/>
      <c r="H1016" s="3"/>
      <c r="I1016" s="3"/>
      <c r="J1016" s="3"/>
      <c r="K1016" s="3"/>
      <c r="L1016" s="3"/>
      <c r="N1016" s="10"/>
      <c r="O1016" s="3"/>
      <c r="P1016" s="3"/>
      <c r="Q1016" s="3"/>
    </row>
    <row r="1017" spans="5:17" x14ac:dyDescent="0.25">
      <c r="E1017" s="2"/>
      <c r="G1017" s="3"/>
      <c r="H1017" s="3"/>
      <c r="I1017" s="3"/>
      <c r="J1017" s="3"/>
      <c r="K1017" s="3"/>
      <c r="L1017" s="3"/>
      <c r="N1017" s="10"/>
      <c r="O1017" s="3"/>
      <c r="P1017" s="3"/>
      <c r="Q1017" s="3"/>
    </row>
    <row r="1018" spans="5:17" x14ac:dyDescent="0.25">
      <c r="E1018" s="2"/>
      <c r="G1018" s="3"/>
      <c r="H1018" s="3"/>
      <c r="I1018" s="3"/>
      <c r="J1018" s="3"/>
      <c r="K1018" s="3"/>
      <c r="L1018" s="3"/>
      <c r="N1018" s="10"/>
      <c r="O1018" s="3"/>
      <c r="P1018" s="3"/>
      <c r="Q1018" s="3"/>
    </row>
    <row r="1019" spans="5:17" x14ac:dyDescent="0.25">
      <c r="E1019" s="2"/>
      <c r="G1019" s="3"/>
      <c r="H1019" s="3"/>
      <c r="I1019" s="3"/>
      <c r="J1019" s="3"/>
      <c r="K1019" s="3"/>
      <c r="L1019" s="3"/>
      <c r="N1019" s="10"/>
      <c r="O1019" s="3"/>
      <c r="P1019" s="3"/>
      <c r="Q1019" s="3"/>
    </row>
    <row r="1020" spans="5:17" x14ac:dyDescent="0.25">
      <c r="E1020" s="2"/>
      <c r="G1020" s="3"/>
      <c r="H1020" s="3"/>
      <c r="I1020" s="3"/>
      <c r="J1020" s="3"/>
      <c r="K1020" s="3"/>
      <c r="L1020" s="3"/>
      <c r="N1020" s="10"/>
      <c r="O1020" s="3"/>
      <c r="P1020" s="3"/>
      <c r="Q1020" s="3"/>
    </row>
    <row r="1021" spans="5:17" x14ac:dyDescent="0.25">
      <c r="E1021" s="2"/>
      <c r="G1021" s="3"/>
      <c r="H1021" s="3"/>
      <c r="I1021" s="3"/>
      <c r="J1021" s="3"/>
      <c r="K1021" s="3"/>
      <c r="L1021" s="3"/>
      <c r="N1021" s="10"/>
      <c r="O1021" s="3"/>
      <c r="P1021" s="3"/>
      <c r="Q1021" s="3"/>
    </row>
    <row r="1022" spans="5:17" x14ac:dyDescent="0.25">
      <c r="E1022" s="2"/>
      <c r="G1022" s="3"/>
      <c r="H1022" s="3"/>
      <c r="I1022" s="3"/>
      <c r="J1022" s="3"/>
      <c r="K1022" s="3"/>
      <c r="L1022" s="3"/>
      <c r="N1022" s="10"/>
      <c r="O1022" s="3"/>
      <c r="P1022" s="3"/>
      <c r="Q1022" s="3"/>
    </row>
    <row r="1023" spans="5:17" x14ac:dyDescent="0.25">
      <c r="E1023" s="2"/>
      <c r="G1023" s="3"/>
      <c r="H1023" s="3"/>
      <c r="I1023" s="3"/>
      <c r="J1023" s="3"/>
      <c r="K1023" s="3"/>
      <c r="L1023" s="3"/>
      <c r="N1023" s="10"/>
      <c r="O1023" s="3"/>
      <c r="P1023" s="3"/>
      <c r="Q1023" s="3"/>
    </row>
    <row r="1024" spans="5:17" x14ac:dyDescent="0.25">
      <c r="E1024" s="2"/>
      <c r="G1024" s="3"/>
      <c r="H1024" s="3"/>
      <c r="I1024" s="3"/>
      <c r="J1024" s="3"/>
      <c r="K1024" s="3"/>
      <c r="L1024" s="3"/>
      <c r="N1024" s="10"/>
      <c r="O1024" s="3"/>
      <c r="P1024" s="3"/>
      <c r="Q1024" s="3"/>
    </row>
    <row r="1025" spans="5:17" x14ac:dyDescent="0.25">
      <c r="E1025" s="2"/>
      <c r="G1025" s="3"/>
      <c r="H1025" s="3"/>
      <c r="I1025" s="3"/>
      <c r="J1025" s="3"/>
      <c r="K1025" s="3"/>
      <c r="L1025" s="3"/>
      <c r="N1025" s="10"/>
      <c r="O1025" s="3"/>
      <c r="P1025" s="3"/>
      <c r="Q1025" s="3"/>
    </row>
    <row r="1026" spans="5:17" x14ac:dyDescent="0.25">
      <c r="E1026" s="2"/>
      <c r="G1026" s="3"/>
      <c r="H1026" s="3"/>
      <c r="I1026" s="3"/>
      <c r="J1026" s="3"/>
      <c r="K1026" s="3"/>
      <c r="L1026" s="3"/>
      <c r="N1026" s="10"/>
      <c r="O1026" s="3"/>
      <c r="P1026" s="3"/>
      <c r="Q1026" s="3"/>
    </row>
    <row r="1027" spans="5:17" x14ac:dyDescent="0.25">
      <c r="E1027" s="2"/>
      <c r="G1027" s="3"/>
      <c r="H1027" s="3"/>
      <c r="I1027" s="3"/>
      <c r="J1027" s="3"/>
      <c r="K1027" s="3"/>
      <c r="L1027" s="3"/>
      <c r="N1027" s="10"/>
      <c r="O1027" s="3"/>
      <c r="P1027" s="3"/>
      <c r="Q1027" s="3"/>
    </row>
    <row r="1028" spans="5:17" x14ac:dyDescent="0.25">
      <c r="E1028" s="2"/>
      <c r="G1028" s="3"/>
      <c r="H1028" s="3"/>
      <c r="I1028" s="3"/>
      <c r="J1028" s="3"/>
      <c r="K1028" s="3"/>
      <c r="L1028" s="3"/>
      <c r="N1028" s="10"/>
      <c r="O1028" s="3"/>
      <c r="P1028" s="3"/>
      <c r="Q1028" s="3"/>
    </row>
    <row r="1029" spans="5:17" x14ac:dyDescent="0.25">
      <c r="E1029" s="2"/>
      <c r="G1029" s="3"/>
      <c r="H1029" s="3"/>
      <c r="I1029" s="3"/>
      <c r="J1029" s="3"/>
      <c r="K1029" s="3"/>
      <c r="L1029" s="3"/>
      <c r="N1029" s="10"/>
      <c r="O1029" s="3"/>
      <c r="P1029" s="3"/>
      <c r="Q1029" s="3"/>
    </row>
    <row r="1030" spans="5:17" x14ac:dyDescent="0.25">
      <c r="E1030" s="2"/>
      <c r="G1030" s="3"/>
      <c r="H1030" s="3"/>
      <c r="I1030" s="3"/>
      <c r="J1030" s="3"/>
      <c r="K1030" s="3"/>
      <c r="L1030" s="3"/>
      <c r="N1030" s="10"/>
      <c r="O1030" s="3"/>
      <c r="P1030" s="3"/>
      <c r="Q1030" s="3"/>
    </row>
    <row r="1031" spans="5:17" x14ac:dyDescent="0.25">
      <c r="E1031" s="2"/>
      <c r="G1031" s="3"/>
      <c r="H1031" s="3"/>
      <c r="I1031" s="3"/>
      <c r="J1031" s="3"/>
      <c r="K1031" s="3"/>
      <c r="L1031" s="3"/>
      <c r="N1031" s="10"/>
      <c r="O1031" s="3"/>
      <c r="P1031" s="3"/>
      <c r="Q1031" s="3"/>
    </row>
    <row r="1032" spans="5:17" x14ac:dyDescent="0.25">
      <c r="E1032" s="2"/>
      <c r="G1032" s="3"/>
      <c r="H1032" s="3"/>
      <c r="I1032" s="3"/>
      <c r="J1032" s="3"/>
      <c r="K1032" s="3"/>
      <c r="L1032" s="3"/>
      <c r="N1032" s="10"/>
      <c r="O1032" s="3"/>
      <c r="P1032" s="3"/>
      <c r="Q1032" s="3"/>
    </row>
    <row r="1033" spans="5:17" x14ac:dyDescent="0.25">
      <c r="E1033" s="2"/>
      <c r="G1033" s="3"/>
      <c r="H1033" s="3"/>
      <c r="I1033" s="3"/>
      <c r="J1033" s="3"/>
      <c r="K1033" s="3"/>
      <c r="L1033" s="3"/>
      <c r="N1033" s="10"/>
      <c r="O1033" s="3"/>
      <c r="P1033" s="3"/>
      <c r="Q1033" s="3"/>
    </row>
    <row r="1034" spans="5:17" x14ac:dyDescent="0.25">
      <c r="E1034" s="2"/>
      <c r="G1034" s="3"/>
      <c r="H1034" s="3"/>
      <c r="I1034" s="3"/>
      <c r="J1034" s="3"/>
      <c r="K1034" s="3"/>
      <c r="L1034" s="3"/>
      <c r="N1034" s="10"/>
      <c r="O1034" s="3"/>
      <c r="P1034" s="3"/>
      <c r="Q1034" s="3"/>
    </row>
    <row r="1035" spans="5:17" x14ac:dyDescent="0.25">
      <c r="E1035" s="2"/>
      <c r="G1035" s="3"/>
      <c r="H1035" s="3"/>
      <c r="I1035" s="3"/>
      <c r="J1035" s="3"/>
      <c r="K1035" s="3"/>
      <c r="L1035" s="3"/>
      <c r="N1035" s="10"/>
      <c r="O1035" s="3"/>
      <c r="P1035" s="3"/>
      <c r="Q1035" s="3"/>
    </row>
    <row r="1036" spans="5:17" x14ac:dyDescent="0.25">
      <c r="E1036" s="2"/>
      <c r="G1036" s="3"/>
      <c r="H1036" s="3"/>
      <c r="I1036" s="3"/>
      <c r="J1036" s="3"/>
      <c r="K1036" s="3"/>
      <c r="L1036" s="3"/>
      <c r="N1036" s="10"/>
      <c r="O1036" s="3"/>
      <c r="P1036" s="3"/>
      <c r="Q1036" s="3"/>
    </row>
    <row r="1037" spans="5:17" x14ac:dyDescent="0.25">
      <c r="E1037" s="2"/>
      <c r="G1037" s="3"/>
      <c r="H1037" s="3"/>
      <c r="I1037" s="3"/>
      <c r="J1037" s="3"/>
      <c r="K1037" s="3"/>
      <c r="L1037" s="3"/>
      <c r="N1037" s="10"/>
      <c r="O1037" s="3"/>
      <c r="P1037" s="3"/>
      <c r="Q1037" s="3"/>
    </row>
    <row r="1038" spans="5:17" x14ac:dyDescent="0.25">
      <c r="E1038" s="2"/>
      <c r="G1038" s="3"/>
      <c r="H1038" s="3"/>
      <c r="I1038" s="3"/>
      <c r="J1038" s="3"/>
      <c r="K1038" s="3"/>
      <c r="L1038" s="3"/>
      <c r="N1038" s="10"/>
      <c r="O1038" s="3"/>
      <c r="P1038" s="3"/>
      <c r="Q1038" s="3"/>
    </row>
    <row r="1039" spans="5:17" x14ac:dyDescent="0.25">
      <c r="E1039" s="2"/>
      <c r="G1039" s="3"/>
      <c r="H1039" s="3"/>
      <c r="I1039" s="3"/>
      <c r="J1039" s="3"/>
      <c r="K1039" s="3"/>
      <c r="L1039" s="3"/>
      <c r="N1039" s="10"/>
      <c r="O1039" s="3"/>
      <c r="P1039" s="3"/>
      <c r="Q1039" s="3"/>
    </row>
    <row r="1040" spans="5:17" x14ac:dyDescent="0.25">
      <c r="E1040" s="2"/>
      <c r="G1040" s="3"/>
      <c r="H1040" s="3"/>
      <c r="I1040" s="3"/>
      <c r="J1040" s="3"/>
      <c r="K1040" s="3"/>
      <c r="L1040" s="3"/>
      <c r="N1040" s="10"/>
      <c r="O1040" s="3"/>
      <c r="P1040" s="3"/>
      <c r="Q1040" s="3"/>
    </row>
    <row r="1041" spans="5:17" x14ac:dyDescent="0.25">
      <c r="E1041" s="2"/>
      <c r="G1041" s="3"/>
      <c r="H1041" s="3"/>
      <c r="I1041" s="3"/>
      <c r="J1041" s="3"/>
      <c r="K1041" s="3"/>
      <c r="L1041" s="3"/>
      <c r="N1041" s="10"/>
      <c r="O1041" s="3"/>
      <c r="P1041" s="3"/>
      <c r="Q1041" s="3"/>
    </row>
    <row r="1042" spans="5:17" x14ac:dyDescent="0.25">
      <c r="E1042" s="2"/>
      <c r="G1042" s="3"/>
      <c r="H1042" s="3"/>
      <c r="I1042" s="3"/>
      <c r="J1042" s="3"/>
      <c r="K1042" s="3"/>
      <c r="L1042" s="3"/>
      <c r="N1042" s="10"/>
      <c r="O1042" s="3"/>
      <c r="P1042" s="3"/>
      <c r="Q1042" s="3"/>
    </row>
    <row r="1043" spans="5:17" x14ac:dyDescent="0.25">
      <c r="E1043" s="2"/>
      <c r="G1043" s="3"/>
      <c r="H1043" s="3"/>
      <c r="I1043" s="3"/>
      <c r="J1043" s="3"/>
      <c r="K1043" s="3"/>
      <c r="L1043" s="3"/>
      <c r="N1043" s="10"/>
      <c r="O1043" s="3"/>
      <c r="P1043" s="3"/>
      <c r="Q1043" s="3"/>
    </row>
    <row r="1044" spans="5:17" x14ac:dyDescent="0.25">
      <c r="E1044" s="2"/>
      <c r="G1044" s="3"/>
      <c r="H1044" s="3"/>
      <c r="I1044" s="3"/>
      <c r="J1044" s="3"/>
      <c r="K1044" s="3"/>
      <c r="L1044" s="3"/>
      <c r="N1044" s="10"/>
      <c r="O1044" s="3"/>
      <c r="P1044" s="3"/>
      <c r="Q1044" s="3"/>
    </row>
    <row r="1045" spans="5:17" x14ac:dyDescent="0.25">
      <c r="E1045" s="2"/>
      <c r="G1045" s="3"/>
      <c r="H1045" s="3"/>
      <c r="I1045" s="3"/>
      <c r="J1045" s="3"/>
      <c r="K1045" s="3"/>
      <c r="L1045" s="3"/>
      <c r="N1045" s="10"/>
      <c r="O1045" s="3"/>
      <c r="P1045" s="3"/>
      <c r="Q1045" s="3"/>
    </row>
    <row r="1046" spans="5:17" x14ac:dyDescent="0.25">
      <c r="E1046" s="2"/>
      <c r="G1046" s="3"/>
      <c r="H1046" s="3"/>
      <c r="I1046" s="3"/>
      <c r="J1046" s="3"/>
      <c r="K1046" s="3"/>
      <c r="L1046" s="3"/>
      <c r="N1046" s="10"/>
      <c r="O1046" s="3"/>
      <c r="P1046" s="3"/>
      <c r="Q1046" s="3"/>
    </row>
    <row r="1047" spans="5:17" x14ac:dyDescent="0.25">
      <c r="E1047" s="2"/>
      <c r="G1047" s="3"/>
      <c r="H1047" s="3"/>
      <c r="I1047" s="3"/>
      <c r="J1047" s="3"/>
      <c r="K1047" s="3"/>
      <c r="L1047" s="3"/>
      <c r="N1047" s="10"/>
      <c r="O1047" s="3"/>
      <c r="P1047" s="3"/>
      <c r="Q1047" s="3"/>
    </row>
    <row r="1048" spans="5:17" x14ac:dyDescent="0.25">
      <c r="E1048" s="2"/>
      <c r="G1048" s="3"/>
      <c r="H1048" s="3"/>
      <c r="I1048" s="3"/>
      <c r="J1048" s="3"/>
      <c r="K1048" s="3"/>
      <c r="L1048" s="3"/>
      <c r="N1048" s="10"/>
      <c r="O1048" s="3"/>
      <c r="P1048" s="3"/>
      <c r="Q1048" s="3"/>
    </row>
    <row r="1049" spans="5:17" x14ac:dyDescent="0.25">
      <c r="E1049" s="2"/>
      <c r="G1049" s="3"/>
      <c r="H1049" s="3"/>
      <c r="I1049" s="3"/>
      <c r="J1049" s="3"/>
      <c r="K1049" s="3"/>
      <c r="L1049" s="3"/>
      <c r="N1049" s="10"/>
      <c r="O1049" s="3"/>
      <c r="P1049" s="3"/>
      <c r="Q1049" s="3"/>
    </row>
    <row r="1050" spans="5:17" x14ac:dyDescent="0.25">
      <c r="E1050" s="2"/>
      <c r="G1050" s="3"/>
      <c r="H1050" s="3"/>
      <c r="I1050" s="3"/>
      <c r="J1050" s="3"/>
      <c r="K1050" s="3"/>
      <c r="L1050" s="3"/>
      <c r="N1050" s="10"/>
      <c r="O1050" s="3"/>
      <c r="P1050" s="3"/>
      <c r="Q1050" s="3"/>
    </row>
    <row r="1051" spans="5:17" x14ac:dyDescent="0.25">
      <c r="E1051" s="2"/>
      <c r="G1051" s="3"/>
      <c r="H1051" s="3"/>
      <c r="I1051" s="3"/>
      <c r="J1051" s="3"/>
      <c r="K1051" s="3"/>
      <c r="L1051" s="3"/>
      <c r="N1051" s="10"/>
      <c r="O1051" s="3"/>
      <c r="P1051" s="3"/>
      <c r="Q1051" s="3"/>
    </row>
    <row r="1052" spans="5:17" x14ac:dyDescent="0.25">
      <c r="E1052" s="2"/>
      <c r="G1052" s="3"/>
      <c r="H1052" s="3"/>
      <c r="I1052" s="3"/>
      <c r="J1052" s="3"/>
      <c r="K1052" s="3"/>
      <c r="L1052" s="3"/>
      <c r="N1052" s="10"/>
      <c r="O1052" s="3"/>
      <c r="P1052" s="3"/>
      <c r="Q1052" s="3"/>
    </row>
    <row r="1053" spans="5:17" x14ac:dyDescent="0.25">
      <c r="E1053" s="2"/>
      <c r="G1053" s="3"/>
      <c r="H1053" s="3"/>
      <c r="I1053" s="3"/>
      <c r="J1053" s="3"/>
      <c r="K1053" s="3"/>
      <c r="L1053" s="3"/>
      <c r="N1053" s="10"/>
      <c r="O1053" s="3"/>
      <c r="P1053" s="3"/>
      <c r="Q1053" s="3"/>
    </row>
    <row r="1054" spans="5:17" x14ac:dyDescent="0.25">
      <c r="E1054" s="2"/>
      <c r="G1054" s="3"/>
      <c r="H1054" s="3"/>
      <c r="I1054" s="3"/>
      <c r="J1054" s="3"/>
      <c r="K1054" s="3"/>
      <c r="L1054" s="3"/>
      <c r="N1054" s="10"/>
      <c r="O1054" s="3"/>
      <c r="P1054" s="3"/>
      <c r="Q1054" s="3"/>
    </row>
    <row r="1055" spans="5:17" x14ac:dyDescent="0.25">
      <c r="E1055" s="2"/>
      <c r="G1055" s="3"/>
      <c r="H1055" s="3"/>
      <c r="I1055" s="3"/>
      <c r="J1055" s="3"/>
      <c r="K1055" s="3"/>
      <c r="L1055" s="3"/>
      <c r="N1055" s="10"/>
      <c r="O1055" s="3"/>
      <c r="P1055" s="3"/>
      <c r="Q1055" s="3"/>
    </row>
    <row r="1056" spans="5:17" x14ac:dyDescent="0.25">
      <c r="E1056" s="2"/>
      <c r="G1056" s="3"/>
      <c r="H1056" s="3"/>
      <c r="I1056" s="3"/>
      <c r="J1056" s="3"/>
      <c r="K1056" s="3"/>
      <c r="L1056" s="3"/>
      <c r="N1056" s="10"/>
      <c r="O1056" s="3"/>
      <c r="P1056" s="3"/>
      <c r="Q1056" s="3"/>
    </row>
    <row r="1057" spans="5:17" x14ac:dyDescent="0.25">
      <c r="E1057" s="2"/>
      <c r="G1057" s="3"/>
      <c r="H1057" s="3"/>
      <c r="I1057" s="3"/>
      <c r="J1057" s="3"/>
      <c r="K1057" s="3"/>
      <c r="L1057" s="3"/>
      <c r="N1057" s="10"/>
      <c r="O1057" s="3"/>
      <c r="P1057" s="3"/>
      <c r="Q1057" s="3"/>
    </row>
    <row r="1058" spans="5:17" x14ac:dyDescent="0.25">
      <c r="E1058" s="2"/>
      <c r="G1058" s="3"/>
      <c r="H1058" s="3"/>
      <c r="I1058" s="3"/>
      <c r="J1058" s="3"/>
      <c r="K1058" s="3"/>
      <c r="L1058" s="3"/>
      <c r="N1058" s="10"/>
      <c r="O1058" s="3"/>
      <c r="P1058" s="3"/>
      <c r="Q1058" s="3"/>
    </row>
    <row r="1059" spans="5:17" x14ac:dyDescent="0.25">
      <c r="E1059" s="2"/>
      <c r="G1059" s="3"/>
      <c r="H1059" s="3"/>
      <c r="I1059" s="3"/>
      <c r="J1059" s="3"/>
      <c r="K1059" s="3"/>
      <c r="L1059" s="3"/>
      <c r="N1059" s="10"/>
      <c r="O1059" s="3"/>
      <c r="P1059" s="3"/>
      <c r="Q1059" s="3"/>
    </row>
    <row r="1060" spans="5:17" x14ac:dyDescent="0.25">
      <c r="E1060" s="2"/>
      <c r="G1060" s="3"/>
      <c r="H1060" s="3"/>
      <c r="I1060" s="3"/>
      <c r="J1060" s="3"/>
      <c r="K1060" s="3"/>
      <c r="L1060" s="3"/>
      <c r="N1060" s="10"/>
      <c r="O1060" s="3"/>
      <c r="P1060" s="3"/>
      <c r="Q1060" s="3"/>
    </row>
    <row r="1061" spans="5:17" x14ac:dyDescent="0.25">
      <c r="E1061" s="2"/>
      <c r="G1061" s="3"/>
      <c r="H1061" s="3"/>
      <c r="I1061" s="3"/>
      <c r="J1061" s="3"/>
      <c r="K1061" s="3"/>
      <c r="L1061" s="3"/>
      <c r="N1061" s="10"/>
      <c r="O1061" s="3"/>
      <c r="P1061" s="3"/>
      <c r="Q1061" s="3"/>
    </row>
    <row r="1062" spans="5:17" x14ac:dyDescent="0.25">
      <c r="E1062" s="2"/>
      <c r="G1062" s="3"/>
      <c r="H1062" s="3"/>
      <c r="I1062" s="3"/>
      <c r="J1062" s="3"/>
      <c r="K1062" s="3"/>
      <c r="L1062" s="3"/>
      <c r="N1062" s="10"/>
      <c r="O1062" s="3"/>
      <c r="P1062" s="3"/>
      <c r="Q1062" s="3"/>
    </row>
    <row r="1063" spans="5:17" x14ac:dyDescent="0.25">
      <c r="E1063" s="2"/>
      <c r="G1063" s="3"/>
      <c r="H1063" s="3"/>
      <c r="I1063" s="3"/>
      <c r="J1063" s="3"/>
      <c r="K1063" s="3"/>
      <c r="L1063" s="3"/>
      <c r="N1063" s="10"/>
      <c r="O1063" s="3"/>
      <c r="P1063" s="3"/>
      <c r="Q1063" s="3"/>
    </row>
    <row r="1064" spans="5:17" x14ac:dyDescent="0.25">
      <c r="E1064" s="2"/>
      <c r="G1064" s="3"/>
      <c r="H1064" s="3"/>
      <c r="I1064" s="3"/>
      <c r="J1064" s="3"/>
      <c r="K1064" s="3"/>
      <c r="L1064" s="3"/>
      <c r="N1064" s="10"/>
      <c r="O1064" s="3"/>
      <c r="P1064" s="3"/>
      <c r="Q1064" s="3"/>
    </row>
    <row r="1065" spans="5:17" x14ac:dyDescent="0.25">
      <c r="E1065" s="2"/>
      <c r="G1065" s="3"/>
      <c r="H1065" s="3"/>
      <c r="I1065" s="3"/>
      <c r="J1065" s="3"/>
      <c r="K1065" s="3"/>
      <c r="L1065" s="3"/>
      <c r="N1065" s="10"/>
      <c r="O1065" s="3"/>
      <c r="P1065" s="3"/>
      <c r="Q1065" s="3"/>
    </row>
    <row r="1066" spans="5:17" x14ac:dyDescent="0.25">
      <c r="E1066" s="2"/>
      <c r="G1066" s="3"/>
      <c r="H1066" s="3"/>
      <c r="I1066" s="3"/>
      <c r="J1066" s="3"/>
      <c r="K1066" s="3"/>
      <c r="L1066" s="3"/>
      <c r="N1066" s="10"/>
      <c r="O1066" s="3"/>
      <c r="P1066" s="3"/>
      <c r="Q1066" s="3"/>
    </row>
    <row r="1067" spans="5:17" x14ac:dyDescent="0.25">
      <c r="E1067" s="2"/>
      <c r="G1067" s="3"/>
      <c r="H1067" s="3"/>
      <c r="I1067" s="3"/>
      <c r="J1067" s="3"/>
      <c r="K1067" s="3"/>
      <c r="L1067" s="3"/>
      <c r="N1067" s="10"/>
      <c r="O1067" s="3"/>
      <c r="P1067" s="3"/>
      <c r="Q1067" s="3"/>
    </row>
    <row r="1068" spans="5:17" x14ac:dyDescent="0.25">
      <c r="E1068" s="2"/>
      <c r="G1068" s="3"/>
      <c r="H1068" s="3"/>
      <c r="I1068" s="3"/>
      <c r="J1068" s="3"/>
      <c r="K1068" s="3"/>
      <c r="L1068" s="3"/>
      <c r="N1068" s="10"/>
      <c r="O1068" s="3"/>
      <c r="P1068" s="3"/>
      <c r="Q1068" s="3"/>
    </row>
    <row r="1069" spans="5:17" x14ac:dyDescent="0.25">
      <c r="E1069" s="2"/>
      <c r="G1069" s="3"/>
      <c r="H1069" s="3"/>
      <c r="I1069" s="3"/>
      <c r="J1069" s="3"/>
      <c r="K1069" s="3"/>
      <c r="L1069" s="3"/>
      <c r="N1069" s="10"/>
      <c r="O1069" s="3"/>
      <c r="P1069" s="3"/>
      <c r="Q1069" s="3"/>
    </row>
    <row r="1070" spans="5:17" x14ac:dyDescent="0.25">
      <c r="E1070" s="2"/>
      <c r="G1070" s="3"/>
      <c r="H1070" s="3"/>
      <c r="I1070" s="3"/>
      <c r="J1070" s="3"/>
      <c r="K1070" s="3"/>
      <c r="L1070" s="3"/>
      <c r="N1070" s="10"/>
      <c r="O1070" s="3"/>
      <c r="P1070" s="3"/>
      <c r="Q1070" s="3"/>
    </row>
    <row r="1071" spans="5:17" x14ac:dyDescent="0.25">
      <c r="E1071" s="2"/>
      <c r="G1071" s="3"/>
      <c r="H1071" s="3"/>
      <c r="I1071" s="3"/>
      <c r="J1071" s="3"/>
      <c r="K1071" s="3"/>
      <c r="L1071" s="3"/>
      <c r="N1071" s="10"/>
      <c r="O1071" s="3"/>
      <c r="P1071" s="3"/>
      <c r="Q1071" s="3"/>
    </row>
    <row r="1072" spans="5:17" x14ac:dyDescent="0.25">
      <c r="E1072" s="2"/>
      <c r="G1072" s="3"/>
      <c r="H1072" s="3"/>
      <c r="I1072" s="3"/>
      <c r="J1072" s="3"/>
      <c r="K1072" s="3"/>
      <c r="L1072" s="3"/>
      <c r="N1072" s="10"/>
      <c r="O1072" s="3"/>
      <c r="P1072" s="3"/>
      <c r="Q1072" s="3"/>
    </row>
    <row r="1073" spans="5:17" x14ac:dyDescent="0.25">
      <c r="E1073" s="2"/>
      <c r="G1073" s="3"/>
      <c r="H1073" s="3"/>
      <c r="I1073" s="3"/>
      <c r="J1073" s="3"/>
      <c r="K1073" s="3"/>
      <c r="L1073" s="3"/>
      <c r="N1073" s="10"/>
      <c r="O1073" s="3"/>
      <c r="P1073" s="3"/>
      <c r="Q1073" s="3"/>
    </row>
    <row r="1074" spans="5:17" x14ac:dyDescent="0.25">
      <c r="E1074" s="2"/>
      <c r="G1074" s="3"/>
      <c r="H1074" s="3"/>
      <c r="I1074" s="3"/>
      <c r="J1074" s="3"/>
      <c r="K1074" s="3"/>
      <c r="L1074" s="3"/>
      <c r="N1074" s="10"/>
      <c r="O1074" s="3"/>
      <c r="P1074" s="3"/>
      <c r="Q1074" s="3"/>
    </row>
    <row r="1075" spans="5:17" x14ac:dyDescent="0.25">
      <c r="E1075" s="2"/>
      <c r="G1075" s="3"/>
      <c r="H1075" s="3"/>
      <c r="I1075" s="3"/>
      <c r="J1075" s="3"/>
      <c r="K1075" s="3"/>
      <c r="L1075" s="3"/>
      <c r="N1075" s="10"/>
      <c r="O1075" s="3"/>
      <c r="P1075" s="3"/>
      <c r="Q1075" s="3"/>
    </row>
    <row r="1076" spans="5:17" x14ac:dyDescent="0.25">
      <c r="E1076" s="2"/>
      <c r="G1076" s="3"/>
      <c r="H1076" s="3"/>
      <c r="I1076" s="3"/>
      <c r="J1076" s="3"/>
      <c r="K1076" s="3"/>
      <c r="L1076" s="3"/>
      <c r="N1076" s="10"/>
      <c r="O1076" s="3"/>
      <c r="P1076" s="3"/>
      <c r="Q1076" s="3"/>
    </row>
    <row r="1077" spans="5:17" x14ac:dyDescent="0.25">
      <c r="E1077" s="2"/>
      <c r="G1077" s="3"/>
      <c r="H1077" s="3"/>
      <c r="I1077" s="3"/>
      <c r="J1077" s="3"/>
      <c r="K1077" s="3"/>
      <c r="L1077" s="3"/>
      <c r="N1077" s="10"/>
      <c r="O1077" s="3"/>
      <c r="P1077" s="3"/>
      <c r="Q1077" s="3"/>
    </row>
    <row r="1078" spans="5:17" x14ac:dyDescent="0.25">
      <c r="E1078" s="2"/>
      <c r="G1078" s="3"/>
      <c r="H1078" s="3"/>
      <c r="I1078" s="3"/>
      <c r="J1078" s="3"/>
      <c r="K1078" s="3"/>
      <c r="L1078" s="3"/>
      <c r="N1078" s="10"/>
      <c r="O1078" s="3"/>
      <c r="P1078" s="3"/>
      <c r="Q1078" s="3"/>
    </row>
    <row r="1079" spans="5:17" x14ac:dyDescent="0.25">
      <c r="E1079" s="2"/>
      <c r="G1079" s="3"/>
      <c r="H1079" s="3"/>
      <c r="I1079" s="3"/>
      <c r="J1079" s="3"/>
      <c r="K1079" s="3"/>
      <c r="L1079" s="3"/>
      <c r="N1079" s="10"/>
      <c r="O1079" s="3"/>
      <c r="P1079" s="3"/>
      <c r="Q1079" s="3"/>
    </row>
    <row r="1080" spans="5:17" x14ac:dyDescent="0.25">
      <c r="E1080" s="2"/>
      <c r="G1080" s="3"/>
      <c r="H1080" s="3"/>
      <c r="I1080" s="3"/>
      <c r="J1080" s="3"/>
      <c r="K1080" s="3"/>
      <c r="L1080" s="3"/>
      <c r="N1080" s="10"/>
      <c r="O1080" s="3"/>
      <c r="P1080" s="3"/>
      <c r="Q1080" s="3"/>
    </row>
    <row r="1081" spans="5:17" x14ac:dyDescent="0.25">
      <c r="E1081" s="2"/>
      <c r="G1081" s="3"/>
      <c r="H1081" s="3"/>
      <c r="I1081" s="3"/>
      <c r="J1081" s="3"/>
      <c r="K1081" s="3"/>
      <c r="L1081" s="3"/>
      <c r="N1081" s="10"/>
      <c r="O1081" s="3"/>
      <c r="P1081" s="3"/>
      <c r="Q1081" s="3"/>
    </row>
    <row r="1082" spans="5:17" x14ac:dyDescent="0.25">
      <c r="E1082" s="2"/>
      <c r="G1082" s="3"/>
      <c r="H1082" s="3"/>
      <c r="I1082" s="3"/>
      <c r="J1082" s="3"/>
      <c r="K1082" s="3"/>
      <c r="L1082" s="3"/>
      <c r="N1082" s="10"/>
      <c r="O1082" s="3"/>
      <c r="P1082" s="3"/>
      <c r="Q1082" s="3"/>
    </row>
    <row r="1083" spans="5:17" x14ac:dyDescent="0.25">
      <c r="E1083" s="2"/>
      <c r="G1083" s="3"/>
      <c r="H1083" s="3"/>
      <c r="I1083" s="3"/>
      <c r="J1083" s="3"/>
      <c r="K1083" s="3"/>
      <c r="L1083" s="3"/>
      <c r="N1083" s="10"/>
      <c r="O1083" s="3"/>
      <c r="P1083" s="3"/>
      <c r="Q1083" s="3"/>
    </row>
    <row r="1084" spans="5:17" x14ac:dyDescent="0.25">
      <c r="E1084" s="2"/>
      <c r="G1084" s="3"/>
      <c r="H1084" s="3"/>
      <c r="I1084" s="3"/>
      <c r="J1084" s="3"/>
      <c r="K1084" s="3"/>
      <c r="L1084" s="3"/>
      <c r="N1084" s="10"/>
      <c r="O1084" s="3"/>
      <c r="P1084" s="3"/>
      <c r="Q1084" s="3"/>
    </row>
    <row r="1085" spans="5:17" x14ac:dyDescent="0.25">
      <c r="E1085" s="2"/>
      <c r="G1085" s="3"/>
      <c r="H1085" s="3"/>
      <c r="I1085" s="3"/>
      <c r="J1085" s="3"/>
      <c r="K1085" s="3"/>
      <c r="L1085" s="3"/>
      <c r="N1085" s="10"/>
      <c r="O1085" s="3"/>
      <c r="P1085" s="3"/>
      <c r="Q1085" s="3"/>
    </row>
    <row r="1086" spans="5:17" x14ac:dyDescent="0.25">
      <c r="E1086" s="2"/>
      <c r="G1086" s="3"/>
      <c r="H1086" s="3"/>
      <c r="I1086" s="3"/>
      <c r="J1086" s="3"/>
      <c r="K1086" s="3"/>
      <c r="L1086" s="3"/>
      <c r="N1086" s="10"/>
      <c r="O1086" s="3"/>
      <c r="P1086" s="3"/>
      <c r="Q1086" s="3"/>
    </row>
    <row r="1087" spans="5:17" x14ac:dyDescent="0.25">
      <c r="E1087" s="2"/>
      <c r="G1087" s="3"/>
      <c r="H1087" s="3"/>
      <c r="I1087" s="3"/>
      <c r="J1087" s="3"/>
      <c r="K1087" s="3"/>
      <c r="L1087" s="3"/>
      <c r="N1087" s="10"/>
      <c r="O1087" s="3"/>
      <c r="P1087" s="3"/>
      <c r="Q1087" s="3"/>
    </row>
    <row r="1088" spans="5:17" x14ac:dyDescent="0.25">
      <c r="E1088" s="2"/>
      <c r="G1088" s="3"/>
      <c r="H1088" s="3"/>
      <c r="I1088" s="3"/>
      <c r="J1088" s="3"/>
      <c r="K1088" s="3"/>
      <c r="L1088" s="3"/>
      <c r="N1088" s="10"/>
      <c r="O1088" s="3"/>
      <c r="P1088" s="3"/>
      <c r="Q1088" s="3"/>
    </row>
    <row r="1089" spans="5:17" x14ac:dyDescent="0.25">
      <c r="E1089" s="2"/>
      <c r="G1089" s="3"/>
      <c r="H1089" s="3"/>
      <c r="I1089" s="3"/>
      <c r="J1089" s="3"/>
      <c r="K1089" s="3"/>
      <c r="L1089" s="3"/>
      <c r="N1089" s="10"/>
      <c r="O1089" s="3"/>
      <c r="P1089" s="3"/>
      <c r="Q1089" s="3"/>
    </row>
    <row r="1090" spans="5:17" x14ac:dyDescent="0.25">
      <c r="E1090" s="2"/>
      <c r="G1090" s="3"/>
      <c r="H1090" s="3"/>
      <c r="I1090" s="3"/>
      <c r="J1090" s="3"/>
      <c r="K1090" s="3"/>
      <c r="L1090" s="3"/>
      <c r="N1090" s="10"/>
      <c r="O1090" s="3"/>
      <c r="P1090" s="3"/>
      <c r="Q1090" s="3"/>
    </row>
    <row r="1091" spans="5:17" x14ac:dyDescent="0.25">
      <c r="E1091" s="2"/>
      <c r="G1091" s="3"/>
      <c r="H1091" s="3"/>
      <c r="I1091" s="3"/>
      <c r="J1091" s="3"/>
      <c r="K1091" s="3"/>
      <c r="L1091" s="3"/>
      <c r="N1091" s="10"/>
      <c r="O1091" s="3"/>
      <c r="P1091" s="3"/>
      <c r="Q1091" s="3"/>
    </row>
    <row r="1092" spans="5:17" x14ac:dyDescent="0.25">
      <c r="E1092" s="2"/>
      <c r="G1092" s="3"/>
      <c r="H1092" s="3"/>
      <c r="I1092" s="3"/>
      <c r="J1092" s="3"/>
      <c r="K1092" s="3"/>
      <c r="L1092" s="3"/>
      <c r="N1092" s="10"/>
      <c r="O1092" s="3"/>
      <c r="P1092" s="3"/>
      <c r="Q1092" s="3"/>
    </row>
    <row r="1093" spans="5:17" x14ac:dyDescent="0.25">
      <c r="E1093" s="2"/>
      <c r="G1093" s="3"/>
      <c r="H1093" s="3"/>
      <c r="I1093" s="3"/>
      <c r="J1093" s="3"/>
      <c r="K1093" s="3"/>
      <c r="L1093" s="3"/>
      <c r="N1093" s="10"/>
      <c r="O1093" s="3"/>
      <c r="P1093" s="3"/>
      <c r="Q1093" s="3"/>
    </row>
    <row r="1094" spans="5:17" x14ac:dyDescent="0.25">
      <c r="E1094" s="2"/>
      <c r="G1094" s="3"/>
      <c r="H1094" s="3"/>
      <c r="I1094" s="3"/>
      <c r="J1094" s="3"/>
      <c r="K1094" s="3"/>
      <c r="L1094" s="3"/>
      <c r="N1094" s="10"/>
      <c r="O1094" s="3"/>
      <c r="P1094" s="3"/>
      <c r="Q1094" s="3"/>
    </row>
    <row r="1095" spans="5:17" x14ac:dyDescent="0.25">
      <c r="E1095" s="2"/>
      <c r="G1095" s="3"/>
      <c r="H1095" s="3"/>
      <c r="I1095" s="3"/>
      <c r="J1095" s="3"/>
      <c r="K1095" s="3"/>
      <c r="L1095" s="3"/>
      <c r="N1095" s="10"/>
      <c r="O1095" s="3"/>
      <c r="P1095" s="3"/>
      <c r="Q1095" s="3"/>
    </row>
    <row r="1096" spans="5:17" x14ac:dyDescent="0.25">
      <c r="E1096" s="2"/>
      <c r="G1096" s="3"/>
      <c r="H1096" s="3"/>
      <c r="I1096" s="3"/>
      <c r="J1096" s="3"/>
      <c r="K1096" s="3"/>
      <c r="L1096" s="3"/>
      <c r="N1096" s="10"/>
      <c r="O1096" s="3"/>
      <c r="P1096" s="3"/>
      <c r="Q1096" s="3"/>
    </row>
    <row r="1097" spans="5:17" x14ac:dyDescent="0.25">
      <c r="E1097" s="2"/>
      <c r="G1097" s="3"/>
      <c r="H1097" s="3"/>
      <c r="I1097" s="3"/>
      <c r="J1097" s="3"/>
      <c r="K1097" s="3"/>
      <c r="L1097" s="3"/>
      <c r="N1097" s="10"/>
      <c r="O1097" s="3"/>
      <c r="P1097" s="3"/>
      <c r="Q1097" s="3"/>
    </row>
    <row r="1098" spans="5:17" x14ac:dyDescent="0.25">
      <c r="E1098" s="2"/>
      <c r="G1098" s="3"/>
      <c r="H1098" s="3"/>
      <c r="I1098" s="3"/>
      <c r="J1098" s="3"/>
      <c r="K1098" s="3"/>
      <c r="L1098" s="3"/>
      <c r="N1098" s="10"/>
      <c r="O1098" s="3"/>
      <c r="P1098" s="3"/>
      <c r="Q1098" s="3"/>
    </row>
    <row r="1099" spans="5:17" x14ac:dyDescent="0.25">
      <c r="E1099" s="2"/>
      <c r="G1099" s="3"/>
      <c r="H1099" s="3"/>
      <c r="I1099" s="3"/>
      <c r="J1099" s="3"/>
      <c r="K1099" s="3"/>
      <c r="L1099" s="3"/>
      <c r="N1099" s="10"/>
      <c r="O1099" s="3"/>
      <c r="P1099" s="3"/>
      <c r="Q1099" s="3"/>
    </row>
    <row r="1100" spans="5:17" x14ac:dyDescent="0.25">
      <c r="E1100" s="2"/>
      <c r="G1100" s="3"/>
      <c r="H1100" s="3"/>
      <c r="I1100" s="3"/>
      <c r="J1100" s="3"/>
      <c r="K1100" s="3"/>
      <c r="L1100" s="3"/>
      <c r="N1100" s="10"/>
      <c r="O1100" s="3"/>
      <c r="P1100" s="3"/>
      <c r="Q1100" s="3"/>
    </row>
    <row r="1101" spans="5:17" x14ac:dyDescent="0.25">
      <c r="E1101" s="2"/>
      <c r="G1101" s="3"/>
      <c r="H1101" s="3"/>
      <c r="I1101" s="3"/>
      <c r="J1101" s="3"/>
      <c r="K1101" s="3"/>
      <c r="L1101" s="3"/>
      <c r="N1101" s="10"/>
      <c r="O1101" s="3"/>
      <c r="P1101" s="3"/>
      <c r="Q1101" s="3"/>
    </row>
    <row r="1102" spans="5:17" x14ac:dyDescent="0.25">
      <c r="E1102" s="2"/>
      <c r="G1102" s="3"/>
      <c r="H1102" s="3"/>
      <c r="I1102" s="3"/>
      <c r="J1102" s="3"/>
      <c r="K1102" s="3"/>
      <c r="L1102" s="3"/>
      <c r="N1102" s="10"/>
      <c r="O1102" s="3"/>
      <c r="P1102" s="3"/>
      <c r="Q1102" s="3"/>
    </row>
    <row r="1103" spans="5:17" x14ac:dyDescent="0.25">
      <c r="E1103" s="2"/>
      <c r="G1103" s="3"/>
      <c r="H1103" s="3"/>
      <c r="I1103" s="3"/>
      <c r="J1103" s="3"/>
      <c r="K1103" s="3"/>
      <c r="L1103" s="3"/>
      <c r="N1103" s="10"/>
      <c r="O1103" s="3"/>
      <c r="P1103" s="3"/>
      <c r="Q1103" s="3"/>
    </row>
    <row r="1104" spans="5:17" x14ac:dyDescent="0.25">
      <c r="E1104" s="2"/>
      <c r="G1104" s="3"/>
      <c r="H1104" s="3"/>
      <c r="I1104" s="3"/>
      <c r="J1104" s="3"/>
      <c r="K1104" s="3"/>
      <c r="L1104" s="3"/>
      <c r="N1104" s="10"/>
      <c r="O1104" s="3"/>
      <c r="P1104" s="3"/>
      <c r="Q1104" s="3"/>
    </row>
    <row r="1105" spans="5:17" x14ac:dyDescent="0.25">
      <c r="E1105" s="2"/>
      <c r="G1105" s="3"/>
      <c r="H1105" s="3"/>
      <c r="I1105" s="3"/>
      <c r="J1105" s="3"/>
      <c r="K1105" s="3"/>
      <c r="L1105" s="3"/>
      <c r="N1105" s="10"/>
      <c r="O1105" s="3"/>
      <c r="P1105" s="3"/>
      <c r="Q1105" s="3"/>
    </row>
    <row r="1106" spans="5:17" x14ac:dyDescent="0.25">
      <c r="E1106" s="2"/>
      <c r="G1106" s="3"/>
      <c r="H1106" s="3"/>
      <c r="I1106" s="3"/>
      <c r="J1106" s="3"/>
      <c r="K1106" s="3"/>
      <c r="L1106" s="3"/>
      <c r="N1106" s="10"/>
      <c r="O1106" s="3"/>
      <c r="P1106" s="3"/>
      <c r="Q1106" s="3"/>
    </row>
    <row r="1107" spans="5:17" x14ac:dyDescent="0.25">
      <c r="E1107" s="2"/>
      <c r="G1107" s="3"/>
      <c r="H1107" s="3"/>
      <c r="I1107" s="3"/>
      <c r="J1107" s="3"/>
      <c r="K1107" s="3"/>
      <c r="L1107" s="3"/>
      <c r="N1107" s="10"/>
      <c r="O1107" s="3"/>
      <c r="P1107" s="3"/>
      <c r="Q1107" s="3"/>
    </row>
    <row r="1108" spans="5:17" x14ac:dyDescent="0.25">
      <c r="E1108" s="2"/>
      <c r="G1108" s="3"/>
      <c r="H1108" s="3"/>
      <c r="I1108" s="3"/>
      <c r="J1108" s="3"/>
      <c r="K1108" s="3"/>
      <c r="L1108" s="3"/>
      <c r="N1108" s="10"/>
      <c r="O1108" s="3"/>
      <c r="P1108" s="3"/>
      <c r="Q1108" s="3"/>
    </row>
    <row r="1109" spans="5:17" x14ac:dyDescent="0.25">
      <c r="E1109" s="2"/>
      <c r="G1109" s="3"/>
      <c r="H1109" s="3"/>
      <c r="I1109" s="3"/>
      <c r="J1109" s="3"/>
      <c r="K1109" s="3"/>
      <c r="L1109" s="3"/>
      <c r="N1109" s="10"/>
      <c r="O1109" s="3"/>
      <c r="P1109" s="3"/>
      <c r="Q1109" s="3"/>
    </row>
    <row r="1110" spans="5:17" x14ac:dyDescent="0.25">
      <c r="E1110" s="2"/>
      <c r="G1110" s="3"/>
      <c r="H1110" s="3"/>
      <c r="I1110" s="3"/>
      <c r="J1110" s="3"/>
      <c r="K1110" s="3"/>
      <c r="L1110" s="3"/>
      <c r="N1110" s="10"/>
      <c r="O1110" s="3"/>
      <c r="P1110" s="3"/>
      <c r="Q1110" s="3"/>
    </row>
    <row r="1111" spans="5:17" x14ac:dyDescent="0.25">
      <c r="E1111" s="2"/>
      <c r="G1111" s="3"/>
      <c r="H1111" s="3"/>
      <c r="I1111" s="3"/>
      <c r="J1111" s="3"/>
      <c r="K1111" s="3"/>
      <c r="L1111" s="3"/>
      <c r="N1111" s="10"/>
      <c r="O1111" s="3"/>
      <c r="P1111" s="3"/>
      <c r="Q1111" s="3"/>
    </row>
    <row r="1112" spans="5:17" x14ac:dyDescent="0.25">
      <c r="E1112" s="2"/>
      <c r="G1112" s="3"/>
      <c r="H1112" s="3"/>
      <c r="I1112" s="3"/>
      <c r="J1112" s="3"/>
      <c r="K1112" s="3"/>
      <c r="L1112" s="3"/>
      <c r="N1112" s="10"/>
      <c r="O1112" s="3"/>
      <c r="P1112" s="3"/>
      <c r="Q1112" s="3"/>
    </row>
    <row r="1113" spans="5:17" x14ac:dyDescent="0.25">
      <c r="E1113" s="2"/>
      <c r="G1113" s="3"/>
      <c r="H1113" s="3"/>
      <c r="I1113" s="3"/>
      <c r="J1113" s="3"/>
      <c r="K1113" s="3"/>
      <c r="L1113" s="3"/>
      <c r="N1113" s="10"/>
      <c r="O1113" s="3"/>
      <c r="P1113" s="3"/>
      <c r="Q1113" s="3"/>
    </row>
    <row r="1114" spans="5:17" x14ac:dyDescent="0.25">
      <c r="E1114" s="2"/>
      <c r="G1114" s="3"/>
      <c r="H1114" s="3"/>
      <c r="I1114" s="3"/>
      <c r="J1114" s="3"/>
      <c r="K1114" s="3"/>
      <c r="L1114" s="3"/>
      <c r="N1114" s="10"/>
      <c r="O1114" s="3"/>
      <c r="P1114" s="3"/>
      <c r="Q1114" s="3"/>
    </row>
    <row r="1115" spans="5:17" x14ac:dyDescent="0.25">
      <c r="E1115" s="2"/>
      <c r="G1115" s="3"/>
      <c r="H1115" s="3"/>
      <c r="I1115" s="3"/>
      <c r="J1115" s="3"/>
      <c r="K1115" s="3"/>
      <c r="L1115" s="3"/>
      <c r="N1115" s="10"/>
      <c r="O1115" s="3"/>
      <c r="P1115" s="3"/>
      <c r="Q1115" s="3"/>
    </row>
    <row r="1116" spans="5:17" x14ac:dyDescent="0.25">
      <c r="E1116" s="2"/>
      <c r="G1116" s="3"/>
      <c r="H1116" s="3"/>
      <c r="I1116" s="3"/>
      <c r="J1116" s="3"/>
      <c r="K1116" s="3"/>
      <c r="L1116" s="3"/>
      <c r="N1116" s="10"/>
      <c r="O1116" s="3"/>
      <c r="P1116" s="3"/>
      <c r="Q1116" s="3"/>
    </row>
    <row r="1117" spans="5:17" x14ac:dyDescent="0.25">
      <c r="E1117" s="2"/>
      <c r="G1117" s="3"/>
      <c r="H1117" s="3"/>
      <c r="I1117" s="3"/>
      <c r="J1117" s="3"/>
      <c r="K1117" s="3"/>
      <c r="L1117" s="3"/>
      <c r="N1117" s="10"/>
      <c r="O1117" s="3"/>
      <c r="P1117" s="3"/>
      <c r="Q1117" s="3"/>
    </row>
    <row r="1118" spans="5:17" x14ac:dyDescent="0.25">
      <c r="E1118" s="2"/>
      <c r="G1118" s="3"/>
      <c r="H1118" s="3"/>
      <c r="I1118" s="3"/>
      <c r="J1118" s="3"/>
      <c r="K1118" s="3"/>
      <c r="L1118" s="3"/>
      <c r="N1118" s="10"/>
      <c r="O1118" s="3"/>
      <c r="P1118" s="3"/>
      <c r="Q1118" s="3"/>
    </row>
    <row r="1119" spans="5:17" x14ac:dyDescent="0.25">
      <c r="E1119" s="2"/>
      <c r="G1119" s="3"/>
      <c r="H1119" s="3"/>
      <c r="I1119" s="3"/>
      <c r="J1119" s="3"/>
      <c r="K1119" s="3"/>
      <c r="L1119" s="3"/>
      <c r="N1119" s="10"/>
      <c r="O1119" s="3"/>
      <c r="P1119" s="3"/>
      <c r="Q1119" s="3"/>
    </row>
    <row r="1120" spans="5:17" x14ac:dyDescent="0.25">
      <c r="E1120" s="2"/>
      <c r="G1120" s="3"/>
      <c r="H1120" s="3"/>
      <c r="I1120" s="3"/>
      <c r="J1120" s="3"/>
      <c r="K1120" s="3"/>
      <c r="L1120" s="3"/>
      <c r="N1120" s="10"/>
      <c r="O1120" s="3"/>
      <c r="P1120" s="3"/>
      <c r="Q1120" s="3"/>
    </row>
    <row r="1121" spans="5:17" x14ac:dyDescent="0.25">
      <c r="E1121" s="2"/>
      <c r="G1121" s="3"/>
      <c r="H1121" s="3"/>
      <c r="I1121" s="3"/>
      <c r="J1121" s="3"/>
      <c r="K1121" s="3"/>
      <c r="L1121" s="3"/>
      <c r="N1121" s="10"/>
      <c r="O1121" s="3"/>
      <c r="P1121" s="3"/>
      <c r="Q1121" s="3"/>
    </row>
    <row r="1122" spans="5:17" x14ac:dyDescent="0.25">
      <c r="E1122" s="2"/>
      <c r="G1122" s="3"/>
      <c r="H1122" s="3"/>
      <c r="I1122" s="3"/>
      <c r="J1122" s="3"/>
      <c r="K1122" s="3"/>
      <c r="L1122" s="3"/>
      <c r="N1122" s="10"/>
      <c r="O1122" s="3"/>
      <c r="P1122" s="3"/>
      <c r="Q1122" s="3"/>
    </row>
    <row r="1123" spans="5:17" x14ac:dyDescent="0.25">
      <c r="E1123" s="2"/>
      <c r="G1123" s="3"/>
      <c r="H1123" s="3"/>
      <c r="I1123" s="3"/>
      <c r="J1123" s="3"/>
      <c r="K1123" s="3"/>
      <c r="L1123" s="3"/>
      <c r="N1123" s="10"/>
      <c r="O1123" s="3"/>
      <c r="P1123" s="3"/>
      <c r="Q1123" s="3"/>
    </row>
    <row r="1124" spans="5:17" x14ac:dyDescent="0.25">
      <c r="E1124" s="2"/>
      <c r="G1124" s="3"/>
      <c r="H1124" s="3"/>
      <c r="I1124" s="3"/>
      <c r="J1124" s="3"/>
      <c r="K1124" s="3"/>
      <c r="L1124" s="3"/>
      <c r="N1124" s="10"/>
      <c r="O1124" s="3"/>
      <c r="P1124" s="3"/>
      <c r="Q1124" s="3"/>
    </row>
    <row r="1125" spans="5:17" x14ac:dyDescent="0.25">
      <c r="E1125" s="2"/>
      <c r="G1125" s="3"/>
      <c r="H1125" s="3"/>
      <c r="I1125" s="3"/>
      <c r="J1125" s="3"/>
      <c r="K1125" s="3"/>
      <c r="L1125" s="3"/>
      <c r="N1125" s="10"/>
      <c r="O1125" s="3"/>
      <c r="P1125" s="3"/>
      <c r="Q1125" s="3"/>
    </row>
    <row r="1126" spans="5:17" x14ac:dyDescent="0.25">
      <c r="E1126" s="2"/>
      <c r="G1126" s="3"/>
      <c r="H1126" s="3"/>
      <c r="I1126" s="3"/>
      <c r="J1126" s="3"/>
      <c r="K1126" s="3"/>
      <c r="L1126" s="3"/>
      <c r="N1126" s="10"/>
      <c r="O1126" s="3"/>
      <c r="P1126" s="3"/>
      <c r="Q1126" s="3"/>
    </row>
    <row r="1127" spans="5:17" x14ac:dyDescent="0.25">
      <c r="E1127" s="2"/>
      <c r="G1127" s="3"/>
      <c r="H1127" s="3"/>
      <c r="I1127" s="3"/>
      <c r="J1127" s="3"/>
      <c r="K1127" s="3"/>
      <c r="L1127" s="3"/>
      <c r="N1127" s="10"/>
      <c r="O1127" s="3"/>
      <c r="P1127" s="3"/>
      <c r="Q1127" s="3"/>
    </row>
    <row r="1128" spans="5:17" x14ac:dyDescent="0.25">
      <c r="E1128" s="2"/>
      <c r="G1128" s="3"/>
      <c r="H1128" s="3"/>
      <c r="I1128" s="3"/>
      <c r="J1128" s="3"/>
      <c r="K1128" s="3"/>
      <c r="L1128" s="3"/>
      <c r="N1128" s="10"/>
      <c r="O1128" s="3"/>
      <c r="P1128" s="3"/>
      <c r="Q1128" s="3"/>
    </row>
    <row r="1129" spans="5:17" x14ac:dyDescent="0.25">
      <c r="E1129" s="2"/>
      <c r="G1129" s="3"/>
      <c r="H1129" s="3"/>
      <c r="I1129" s="3"/>
      <c r="J1129" s="3"/>
      <c r="K1129" s="3"/>
      <c r="L1129" s="3"/>
      <c r="N1129" s="10"/>
      <c r="O1129" s="3"/>
      <c r="P1129" s="3"/>
      <c r="Q1129" s="3"/>
    </row>
    <row r="1130" spans="5:17" x14ac:dyDescent="0.25">
      <c r="E1130" s="2"/>
      <c r="G1130" s="3"/>
      <c r="H1130" s="3"/>
      <c r="I1130" s="3"/>
      <c r="J1130" s="3"/>
      <c r="K1130" s="3"/>
      <c r="L1130" s="3"/>
      <c r="N1130" s="10"/>
      <c r="O1130" s="3"/>
      <c r="P1130" s="3"/>
      <c r="Q1130" s="3"/>
    </row>
    <row r="1131" spans="5:17" x14ac:dyDescent="0.25">
      <c r="E1131" s="2"/>
      <c r="G1131" s="3"/>
      <c r="H1131" s="3"/>
      <c r="I1131" s="3"/>
      <c r="J1131" s="3"/>
      <c r="K1131" s="3"/>
      <c r="L1131" s="3"/>
      <c r="N1131" s="10"/>
      <c r="O1131" s="3"/>
      <c r="P1131" s="3"/>
      <c r="Q1131" s="3"/>
    </row>
    <row r="1132" spans="5:17" x14ac:dyDescent="0.25">
      <c r="E1132" s="2"/>
      <c r="G1132" s="3"/>
      <c r="H1132" s="3"/>
      <c r="I1132" s="3"/>
      <c r="J1132" s="3"/>
      <c r="K1132" s="3"/>
      <c r="L1132" s="3"/>
      <c r="N1132" s="10"/>
      <c r="O1132" s="3"/>
      <c r="P1132" s="3"/>
      <c r="Q1132" s="3"/>
    </row>
    <row r="1133" spans="5:17" x14ac:dyDescent="0.25">
      <c r="E1133" s="2"/>
      <c r="G1133" s="3"/>
      <c r="H1133" s="3"/>
      <c r="I1133" s="3"/>
      <c r="J1133" s="3"/>
      <c r="K1133" s="3"/>
      <c r="L1133" s="3"/>
      <c r="N1133" s="10"/>
      <c r="O1133" s="3"/>
      <c r="P1133" s="3"/>
      <c r="Q1133" s="3"/>
    </row>
    <row r="1134" spans="5:17" x14ac:dyDescent="0.25">
      <c r="E1134" s="2"/>
      <c r="G1134" s="3"/>
      <c r="H1134" s="3"/>
      <c r="I1134" s="3"/>
      <c r="J1134" s="3"/>
      <c r="K1134" s="3"/>
      <c r="L1134" s="3"/>
      <c r="N1134" s="10"/>
      <c r="O1134" s="3"/>
      <c r="P1134" s="3"/>
      <c r="Q1134" s="3"/>
    </row>
    <row r="1135" spans="5:17" x14ac:dyDescent="0.25">
      <c r="E1135" s="2"/>
      <c r="G1135" s="3"/>
      <c r="H1135" s="3"/>
      <c r="I1135" s="3"/>
      <c r="J1135" s="3"/>
      <c r="K1135" s="3"/>
      <c r="L1135" s="3"/>
      <c r="N1135" s="10"/>
      <c r="O1135" s="3"/>
      <c r="P1135" s="3"/>
      <c r="Q1135" s="3"/>
    </row>
    <row r="1136" spans="5:17" x14ac:dyDescent="0.25">
      <c r="E1136" s="2"/>
      <c r="G1136" s="3"/>
      <c r="H1136" s="3"/>
      <c r="I1136" s="3"/>
      <c r="J1136" s="3"/>
      <c r="K1136" s="3"/>
      <c r="L1136" s="3"/>
      <c r="N1136" s="10"/>
      <c r="O1136" s="3"/>
      <c r="P1136" s="3"/>
      <c r="Q1136" s="3"/>
    </row>
    <row r="1137" spans="5:17" x14ac:dyDescent="0.25">
      <c r="E1137" s="2"/>
      <c r="G1137" s="3"/>
      <c r="H1137" s="3"/>
      <c r="I1137" s="3"/>
      <c r="J1137" s="3"/>
      <c r="K1137" s="3"/>
      <c r="L1137" s="3"/>
      <c r="N1137" s="10"/>
      <c r="O1137" s="3"/>
      <c r="P1137" s="3"/>
      <c r="Q1137" s="3"/>
    </row>
    <row r="1138" spans="5:17" x14ac:dyDescent="0.25">
      <c r="E1138" s="2"/>
      <c r="G1138" s="3"/>
      <c r="H1138" s="3"/>
      <c r="I1138" s="3"/>
      <c r="J1138" s="3"/>
      <c r="K1138" s="3"/>
      <c r="L1138" s="3"/>
      <c r="N1138" s="10"/>
      <c r="O1138" s="3"/>
      <c r="P1138" s="3"/>
      <c r="Q1138" s="3"/>
    </row>
    <row r="1139" spans="5:17" x14ac:dyDescent="0.25">
      <c r="E1139" s="2"/>
      <c r="G1139" s="3"/>
      <c r="H1139" s="3"/>
      <c r="I1139" s="3"/>
      <c r="J1139" s="3"/>
      <c r="K1139" s="3"/>
      <c r="L1139" s="3"/>
      <c r="N1139" s="10"/>
      <c r="O1139" s="3"/>
      <c r="P1139" s="3"/>
      <c r="Q1139" s="3"/>
    </row>
    <row r="1140" spans="5:17" x14ac:dyDescent="0.25">
      <c r="E1140" s="2"/>
      <c r="G1140" s="3"/>
      <c r="H1140" s="3"/>
      <c r="I1140" s="3"/>
      <c r="J1140" s="3"/>
      <c r="K1140" s="3"/>
      <c r="L1140" s="3"/>
      <c r="N1140" s="10"/>
      <c r="O1140" s="3"/>
      <c r="P1140" s="3"/>
      <c r="Q1140" s="3"/>
    </row>
    <row r="1141" spans="5:17" x14ac:dyDescent="0.25">
      <c r="E1141" s="2"/>
      <c r="G1141" s="3"/>
      <c r="H1141" s="3"/>
      <c r="I1141" s="3"/>
      <c r="J1141" s="3"/>
      <c r="K1141" s="3"/>
      <c r="L1141" s="3"/>
      <c r="N1141" s="10"/>
      <c r="O1141" s="3"/>
      <c r="P1141" s="3"/>
      <c r="Q1141" s="3"/>
    </row>
    <row r="1142" spans="5:17" x14ac:dyDescent="0.25">
      <c r="E1142" s="2"/>
      <c r="G1142" s="3"/>
      <c r="H1142" s="3"/>
      <c r="I1142" s="3"/>
      <c r="J1142" s="3"/>
      <c r="K1142" s="3"/>
      <c r="L1142" s="3"/>
      <c r="N1142" s="10"/>
      <c r="O1142" s="3"/>
      <c r="P1142" s="3"/>
      <c r="Q1142" s="3"/>
    </row>
    <row r="1143" spans="5:17" x14ac:dyDescent="0.25">
      <c r="E1143" s="2"/>
      <c r="G1143" s="3"/>
      <c r="H1143" s="3"/>
      <c r="I1143" s="3"/>
      <c r="J1143" s="3"/>
      <c r="K1143" s="3"/>
      <c r="L1143" s="3"/>
      <c r="N1143" s="10"/>
      <c r="O1143" s="3"/>
      <c r="P1143" s="3"/>
      <c r="Q1143" s="3"/>
    </row>
    <row r="1144" spans="5:17" x14ac:dyDescent="0.25">
      <c r="E1144" s="2"/>
      <c r="G1144" s="3"/>
      <c r="H1144" s="3"/>
      <c r="I1144" s="3"/>
      <c r="J1144" s="3"/>
      <c r="K1144" s="3"/>
      <c r="L1144" s="3"/>
      <c r="N1144" s="10"/>
      <c r="O1144" s="3"/>
      <c r="P1144" s="3"/>
      <c r="Q1144" s="3"/>
    </row>
    <row r="1145" spans="5:17" x14ac:dyDescent="0.25">
      <c r="E1145" s="2"/>
      <c r="G1145" s="3"/>
      <c r="H1145" s="3"/>
      <c r="I1145" s="3"/>
      <c r="J1145" s="3"/>
      <c r="K1145" s="3"/>
      <c r="L1145" s="3"/>
      <c r="N1145" s="10"/>
      <c r="O1145" s="3"/>
      <c r="P1145" s="3"/>
      <c r="Q1145" s="3"/>
    </row>
    <row r="1146" spans="5:17" x14ac:dyDescent="0.25">
      <c r="E1146" s="2"/>
      <c r="G1146" s="3"/>
      <c r="H1146" s="3"/>
      <c r="I1146" s="3"/>
      <c r="J1146" s="3"/>
      <c r="K1146" s="3"/>
      <c r="L1146" s="3"/>
      <c r="N1146" s="10"/>
      <c r="O1146" s="3"/>
      <c r="P1146" s="3"/>
      <c r="Q1146" s="3"/>
    </row>
    <row r="1147" spans="5:17" x14ac:dyDescent="0.25">
      <c r="E1147" s="2"/>
      <c r="G1147" s="3"/>
      <c r="H1147" s="3"/>
      <c r="I1147" s="3"/>
      <c r="J1147" s="3"/>
      <c r="K1147" s="3"/>
      <c r="L1147" s="3"/>
      <c r="N1147" s="10"/>
      <c r="O1147" s="3"/>
      <c r="P1147" s="3"/>
      <c r="Q1147" s="3"/>
    </row>
    <row r="1148" spans="5:17" x14ac:dyDescent="0.25">
      <c r="E1148" s="2"/>
      <c r="G1148" s="3"/>
      <c r="H1148" s="3"/>
      <c r="I1148" s="3"/>
      <c r="J1148" s="3"/>
      <c r="K1148" s="3"/>
      <c r="L1148" s="3"/>
      <c r="N1148" s="10"/>
      <c r="O1148" s="3"/>
      <c r="P1148" s="3"/>
      <c r="Q1148" s="3"/>
    </row>
    <row r="1149" spans="5:17" x14ac:dyDescent="0.25">
      <c r="E1149" s="2"/>
      <c r="G1149" s="3"/>
      <c r="H1149" s="3"/>
      <c r="I1149" s="3"/>
      <c r="J1149" s="3"/>
      <c r="K1149" s="3"/>
      <c r="L1149" s="3"/>
      <c r="N1149" s="10"/>
      <c r="O1149" s="3"/>
      <c r="P1149" s="3"/>
      <c r="Q1149" s="3"/>
    </row>
    <row r="1150" spans="5:17" x14ac:dyDescent="0.25">
      <c r="E1150" s="2"/>
      <c r="G1150" s="3"/>
      <c r="H1150" s="3"/>
      <c r="I1150" s="3"/>
      <c r="J1150" s="3"/>
      <c r="K1150" s="3"/>
      <c r="L1150" s="3"/>
      <c r="N1150" s="10"/>
      <c r="O1150" s="3"/>
      <c r="P1150" s="3"/>
      <c r="Q1150" s="3"/>
    </row>
    <row r="1151" spans="5:17" x14ac:dyDescent="0.25">
      <c r="E1151" s="2"/>
      <c r="G1151" s="3"/>
      <c r="H1151" s="3"/>
      <c r="I1151" s="3"/>
      <c r="J1151" s="3"/>
      <c r="K1151" s="3"/>
      <c r="L1151" s="3"/>
      <c r="N1151" s="10"/>
      <c r="O1151" s="3"/>
      <c r="P1151" s="3"/>
      <c r="Q1151" s="3"/>
    </row>
    <row r="1152" spans="5:17" x14ac:dyDescent="0.25">
      <c r="E1152" s="2"/>
      <c r="G1152" s="3"/>
      <c r="H1152" s="3"/>
      <c r="I1152" s="3"/>
      <c r="J1152" s="3"/>
      <c r="K1152" s="3"/>
      <c r="L1152" s="3"/>
      <c r="N1152" s="10"/>
      <c r="O1152" s="3"/>
      <c r="P1152" s="3"/>
      <c r="Q1152" s="3"/>
    </row>
    <row r="1153" spans="5:17" x14ac:dyDescent="0.25">
      <c r="E1153" s="2"/>
      <c r="G1153" s="3"/>
      <c r="H1153" s="3"/>
      <c r="I1153" s="3"/>
      <c r="J1153" s="3"/>
      <c r="K1153" s="3"/>
      <c r="L1153" s="3"/>
      <c r="N1153" s="10"/>
      <c r="O1153" s="3"/>
      <c r="P1153" s="3"/>
      <c r="Q1153" s="3"/>
    </row>
    <row r="1154" spans="5:17" x14ac:dyDescent="0.25">
      <c r="E1154" s="2"/>
      <c r="G1154" s="3"/>
      <c r="H1154" s="3"/>
      <c r="I1154" s="3"/>
      <c r="J1154" s="3"/>
      <c r="K1154" s="3"/>
      <c r="L1154" s="3"/>
      <c r="N1154" s="10"/>
      <c r="O1154" s="3"/>
      <c r="P1154" s="3"/>
      <c r="Q1154" s="3"/>
    </row>
    <row r="1155" spans="5:17" x14ac:dyDescent="0.25">
      <c r="E1155" s="2"/>
      <c r="G1155" s="3"/>
      <c r="H1155" s="3"/>
      <c r="I1155" s="3"/>
      <c r="J1155" s="3"/>
      <c r="K1155" s="3"/>
      <c r="L1155" s="3"/>
      <c r="N1155" s="10"/>
      <c r="O1155" s="3"/>
      <c r="P1155" s="3"/>
      <c r="Q1155" s="3"/>
    </row>
    <row r="1156" spans="5:17" x14ac:dyDescent="0.25">
      <c r="E1156" s="2"/>
      <c r="G1156" s="3"/>
      <c r="H1156" s="3"/>
      <c r="I1156" s="3"/>
      <c r="J1156" s="3"/>
      <c r="K1156" s="3"/>
      <c r="L1156" s="3"/>
      <c r="N1156" s="10"/>
      <c r="O1156" s="3"/>
      <c r="P1156" s="3"/>
      <c r="Q1156" s="3"/>
    </row>
    <row r="1157" spans="5:17" x14ac:dyDescent="0.25">
      <c r="E1157" s="2"/>
      <c r="G1157" s="3"/>
      <c r="H1157" s="3"/>
      <c r="I1157" s="3"/>
      <c r="J1157" s="3"/>
      <c r="K1157" s="3"/>
      <c r="L1157" s="3"/>
      <c r="N1157" s="10"/>
      <c r="O1157" s="3"/>
      <c r="P1157" s="3"/>
      <c r="Q1157" s="3"/>
    </row>
    <row r="1158" spans="5:17" x14ac:dyDescent="0.25">
      <c r="E1158" s="2"/>
      <c r="G1158" s="3"/>
      <c r="H1158" s="3"/>
      <c r="I1158" s="3"/>
      <c r="J1158" s="3"/>
      <c r="K1158" s="3"/>
      <c r="L1158" s="3"/>
      <c r="N1158" s="10"/>
      <c r="O1158" s="3"/>
      <c r="P1158" s="3"/>
      <c r="Q1158" s="3"/>
    </row>
    <row r="1159" spans="5:17" x14ac:dyDescent="0.25">
      <c r="E1159" s="2"/>
      <c r="G1159" s="3"/>
      <c r="H1159" s="3"/>
      <c r="I1159" s="3"/>
      <c r="J1159" s="3"/>
      <c r="K1159" s="3"/>
      <c r="L1159" s="3"/>
      <c r="N1159" s="10"/>
      <c r="O1159" s="3"/>
      <c r="P1159" s="3"/>
      <c r="Q1159" s="3"/>
    </row>
    <row r="1160" spans="5:17" x14ac:dyDescent="0.25">
      <c r="E1160" s="2"/>
      <c r="G1160" s="3"/>
      <c r="H1160" s="3"/>
      <c r="I1160" s="3"/>
      <c r="J1160" s="3"/>
      <c r="K1160" s="3"/>
      <c r="L1160" s="3"/>
      <c r="N1160" s="10"/>
      <c r="O1160" s="3"/>
      <c r="P1160" s="3"/>
      <c r="Q1160" s="3"/>
    </row>
    <row r="1161" spans="5:17" x14ac:dyDescent="0.25">
      <c r="E1161" s="2"/>
      <c r="G1161" s="3"/>
      <c r="H1161" s="3"/>
      <c r="I1161" s="3"/>
      <c r="J1161" s="3"/>
      <c r="K1161" s="3"/>
      <c r="L1161" s="3"/>
      <c r="N1161" s="10"/>
      <c r="O1161" s="3"/>
      <c r="P1161" s="3"/>
      <c r="Q1161" s="3"/>
    </row>
    <row r="1162" spans="5:17" x14ac:dyDescent="0.25">
      <c r="E1162" s="2"/>
      <c r="G1162" s="3"/>
      <c r="H1162" s="3"/>
      <c r="I1162" s="3"/>
      <c r="J1162" s="3"/>
      <c r="K1162" s="3"/>
      <c r="L1162" s="3"/>
      <c r="N1162" s="10"/>
      <c r="O1162" s="3"/>
      <c r="P1162" s="3"/>
      <c r="Q1162" s="3"/>
    </row>
    <row r="1163" spans="5:17" x14ac:dyDescent="0.25">
      <c r="E1163" s="2"/>
      <c r="G1163" s="3"/>
      <c r="H1163" s="3"/>
      <c r="I1163" s="3"/>
      <c r="J1163" s="3"/>
      <c r="K1163" s="3"/>
      <c r="L1163" s="3"/>
      <c r="N1163" s="10"/>
      <c r="O1163" s="3"/>
      <c r="P1163" s="3"/>
      <c r="Q1163" s="3"/>
    </row>
    <row r="1164" spans="5:17" x14ac:dyDescent="0.25">
      <c r="E1164" s="2"/>
      <c r="G1164" s="3"/>
      <c r="H1164" s="3"/>
      <c r="I1164" s="3"/>
      <c r="J1164" s="3"/>
      <c r="K1164" s="3"/>
      <c r="L1164" s="3"/>
      <c r="N1164" s="10"/>
      <c r="O1164" s="3"/>
      <c r="P1164" s="3"/>
      <c r="Q1164" s="3"/>
    </row>
    <row r="1165" spans="5:17" x14ac:dyDescent="0.25">
      <c r="E1165" s="2"/>
      <c r="G1165" s="3"/>
      <c r="H1165" s="3"/>
      <c r="I1165" s="3"/>
      <c r="J1165" s="3"/>
      <c r="K1165" s="3"/>
      <c r="L1165" s="3"/>
      <c r="N1165" s="10"/>
      <c r="O1165" s="3"/>
      <c r="P1165" s="3"/>
      <c r="Q1165" s="3"/>
    </row>
    <row r="1166" spans="5:17" x14ac:dyDescent="0.25">
      <c r="E1166" s="2"/>
      <c r="G1166" s="3"/>
      <c r="H1166" s="3"/>
      <c r="I1166" s="3"/>
      <c r="J1166" s="3"/>
      <c r="K1166" s="3"/>
      <c r="L1166" s="3"/>
      <c r="N1166" s="10"/>
      <c r="O1166" s="3"/>
      <c r="P1166" s="3"/>
      <c r="Q1166" s="3"/>
    </row>
    <row r="1167" spans="5:17" x14ac:dyDescent="0.25">
      <c r="E1167" s="2"/>
      <c r="G1167" s="3"/>
      <c r="H1167" s="3"/>
      <c r="I1167" s="3"/>
      <c r="J1167" s="3"/>
      <c r="K1167" s="3"/>
      <c r="L1167" s="3"/>
      <c r="N1167" s="10"/>
      <c r="O1167" s="3"/>
      <c r="P1167" s="3"/>
      <c r="Q1167" s="3"/>
    </row>
    <row r="1168" spans="5:17" x14ac:dyDescent="0.25">
      <c r="E1168" s="2"/>
      <c r="G1168" s="3"/>
      <c r="H1168" s="3"/>
      <c r="I1168" s="3"/>
      <c r="J1168" s="3"/>
      <c r="K1168" s="3"/>
      <c r="L1168" s="3"/>
      <c r="N1168" s="10"/>
      <c r="O1168" s="3"/>
      <c r="P1168" s="3"/>
      <c r="Q1168" s="3"/>
    </row>
    <row r="1169" spans="5:17" x14ac:dyDescent="0.25">
      <c r="E1169" s="2"/>
      <c r="G1169" s="3"/>
      <c r="H1169" s="3"/>
      <c r="I1169" s="3"/>
      <c r="J1169" s="3"/>
      <c r="K1169" s="3"/>
      <c r="L1169" s="3"/>
      <c r="N1169" s="10"/>
      <c r="O1169" s="3"/>
      <c r="P1169" s="3"/>
      <c r="Q1169" s="3"/>
    </row>
    <row r="1170" spans="5:17" x14ac:dyDescent="0.25">
      <c r="E1170" s="2"/>
      <c r="G1170" s="3"/>
      <c r="H1170" s="3"/>
      <c r="I1170" s="3"/>
      <c r="J1170" s="3"/>
      <c r="K1170" s="3"/>
      <c r="L1170" s="3"/>
      <c r="N1170" s="10"/>
      <c r="O1170" s="3"/>
      <c r="P1170" s="3"/>
      <c r="Q1170" s="3"/>
    </row>
    <row r="1171" spans="5:17" x14ac:dyDescent="0.25">
      <c r="E1171" s="2"/>
      <c r="G1171" s="3"/>
      <c r="H1171" s="3"/>
      <c r="I1171" s="3"/>
      <c r="J1171" s="3"/>
      <c r="K1171" s="3"/>
      <c r="L1171" s="3"/>
      <c r="N1171" s="10"/>
      <c r="O1171" s="3"/>
      <c r="P1171" s="3"/>
      <c r="Q1171" s="3"/>
    </row>
    <row r="1172" spans="5:17" x14ac:dyDescent="0.25">
      <c r="E1172" s="2"/>
      <c r="G1172" s="3"/>
      <c r="H1172" s="3"/>
      <c r="I1172" s="3"/>
      <c r="J1172" s="3"/>
      <c r="K1172" s="3"/>
      <c r="L1172" s="3"/>
      <c r="N1172" s="10"/>
      <c r="O1172" s="3"/>
      <c r="P1172" s="3"/>
      <c r="Q1172" s="3"/>
    </row>
    <row r="1173" spans="5:17" x14ac:dyDescent="0.25">
      <c r="E1173" s="2"/>
      <c r="G1173" s="3"/>
      <c r="H1173" s="3"/>
      <c r="I1173" s="3"/>
      <c r="J1173" s="3"/>
      <c r="K1173" s="3"/>
      <c r="L1173" s="3"/>
      <c r="N1173" s="10"/>
      <c r="O1173" s="3"/>
      <c r="P1173" s="3"/>
      <c r="Q1173" s="3"/>
    </row>
    <row r="1174" spans="5:17" x14ac:dyDescent="0.25">
      <c r="E1174" s="2"/>
      <c r="G1174" s="3"/>
      <c r="H1174" s="3"/>
      <c r="I1174" s="3"/>
      <c r="J1174" s="3"/>
      <c r="K1174" s="3"/>
      <c r="L1174" s="3"/>
      <c r="N1174" s="10"/>
      <c r="O1174" s="3"/>
      <c r="P1174" s="3"/>
      <c r="Q1174" s="3"/>
    </row>
    <row r="1175" spans="5:17" x14ac:dyDescent="0.25">
      <c r="E1175" s="2"/>
      <c r="G1175" s="3"/>
      <c r="H1175" s="3"/>
      <c r="I1175" s="3"/>
      <c r="J1175" s="3"/>
      <c r="K1175" s="3"/>
      <c r="L1175" s="3"/>
      <c r="N1175" s="10"/>
      <c r="O1175" s="3"/>
      <c r="P1175" s="3"/>
      <c r="Q1175" s="3"/>
    </row>
    <row r="1176" spans="5:17" x14ac:dyDescent="0.25">
      <c r="E1176" s="2"/>
      <c r="G1176" s="3"/>
      <c r="H1176" s="3"/>
      <c r="I1176" s="3"/>
      <c r="J1176" s="3"/>
      <c r="K1176" s="3"/>
      <c r="L1176" s="3"/>
      <c r="N1176" s="10"/>
      <c r="O1176" s="3"/>
      <c r="P1176" s="3"/>
      <c r="Q1176" s="3"/>
    </row>
    <row r="1177" spans="5:17" x14ac:dyDescent="0.25">
      <c r="E1177" s="2"/>
      <c r="G1177" s="3"/>
      <c r="H1177" s="3"/>
      <c r="I1177" s="3"/>
      <c r="J1177" s="3"/>
      <c r="K1177" s="3"/>
      <c r="L1177" s="3"/>
      <c r="N1177" s="10"/>
      <c r="O1177" s="3"/>
      <c r="P1177" s="3"/>
      <c r="Q1177" s="3"/>
    </row>
    <row r="1178" spans="5:17" x14ac:dyDescent="0.25">
      <c r="E1178" s="2"/>
      <c r="G1178" s="3"/>
      <c r="H1178" s="3"/>
      <c r="I1178" s="3"/>
      <c r="J1178" s="3"/>
      <c r="K1178" s="3"/>
      <c r="L1178" s="3"/>
      <c r="N1178" s="10"/>
      <c r="O1178" s="3"/>
      <c r="P1178" s="3"/>
      <c r="Q1178" s="3"/>
    </row>
    <row r="1179" spans="5:17" x14ac:dyDescent="0.25">
      <c r="E1179" s="2"/>
      <c r="G1179" s="3"/>
      <c r="H1179" s="3"/>
      <c r="I1179" s="3"/>
      <c r="J1179" s="3"/>
      <c r="K1179" s="3"/>
      <c r="L1179" s="3"/>
      <c r="N1179" s="10"/>
      <c r="O1179" s="3"/>
      <c r="P1179" s="3"/>
      <c r="Q1179" s="3"/>
    </row>
    <row r="1180" spans="5:17" x14ac:dyDescent="0.25">
      <c r="E1180" s="2"/>
      <c r="G1180" s="3"/>
      <c r="H1180" s="3"/>
      <c r="I1180" s="3"/>
      <c r="J1180" s="3"/>
      <c r="K1180" s="3"/>
      <c r="L1180" s="3"/>
      <c r="N1180" s="10"/>
      <c r="O1180" s="3"/>
      <c r="P1180" s="3"/>
      <c r="Q1180" s="3"/>
    </row>
    <row r="1181" spans="5:17" x14ac:dyDescent="0.25">
      <c r="E1181" s="2"/>
      <c r="G1181" s="3"/>
      <c r="H1181" s="3"/>
      <c r="I1181" s="3"/>
      <c r="J1181" s="3"/>
      <c r="K1181" s="3"/>
      <c r="L1181" s="3"/>
      <c r="N1181" s="10"/>
      <c r="O1181" s="3"/>
      <c r="P1181" s="3"/>
      <c r="Q1181" s="3"/>
    </row>
    <row r="1182" spans="5:17" x14ac:dyDescent="0.25">
      <c r="E1182" s="2"/>
      <c r="G1182" s="3"/>
      <c r="H1182" s="3"/>
      <c r="I1182" s="3"/>
      <c r="J1182" s="3"/>
      <c r="K1182" s="3"/>
      <c r="L1182" s="3"/>
      <c r="N1182" s="10"/>
      <c r="O1182" s="3"/>
      <c r="P1182" s="3"/>
      <c r="Q1182" s="3"/>
    </row>
    <row r="1183" spans="5:17" x14ac:dyDescent="0.25">
      <c r="E1183" s="2"/>
      <c r="G1183" s="3"/>
      <c r="H1183" s="3"/>
      <c r="I1183" s="3"/>
      <c r="J1183" s="3"/>
      <c r="K1183" s="3"/>
      <c r="L1183" s="3"/>
      <c r="N1183" s="10"/>
      <c r="O1183" s="3"/>
      <c r="P1183" s="3"/>
      <c r="Q1183" s="3"/>
    </row>
    <row r="1184" spans="5:17" x14ac:dyDescent="0.25">
      <c r="E1184" s="2"/>
      <c r="G1184" s="3"/>
      <c r="H1184" s="3"/>
      <c r="I1184" s="3"/>
      <c r="J1184" s="3"/>
      <c r="K1184" s="3"/>
      <c r="L1184" s="3"/>
      <c r="N1184" s="10"/>
      <c r="O1184" s="3"/>
      <c r="P1184" s="3"/>
      <c r="Q1184" s="3"/>
    </row>
    <row r="1185" spans="5:17" x14ac:dyDescent="0.25">
      <c r="E1185" s="2"/>
      <c r="G1185" s="3"/>
      <c r="H1185" s="3"/>
      <c r="I1185" s="3"/>
      <c r="J1185" s="3"/>
      <c r="K1185" s="3"/>
      <c r="L1185" s="3"/>
      <c r="N1185" s="10"/>
      <c r="O1185" s="3"/>
      <c r="P1185" s="3"/>
      <c r="Q1185" s="3"/>
    </row>
    <row r="1186" spans="5:17" x14ac:dyDescent="0.25">
      <c r="E1186" s="2"/>
      <c r="G1186" s="3"/>
      <c r="H1186" s="3"/>
      <c r="I1186" s="3"/>
      <c r="J1186" s="3"/>
      <c r="K1186" s="3"/>
      <c r="L1186" s="3"/>
      <c r="N1186" s="10"/>
      <c r="O1186" s="3"/>
      <c r="P1186" s="3"/>
      <c r="Q1186" s="3"/>
    </row>
    <row r="1187" spans="5:17" x14ac:dyDescent="0.25">
      <c r="E1187" s="2"/>
      <c r="G1187" s="3"/>
      <c r="H1187" s="3"/>
      <c r="I1187" s="3"/>
      <c r="J1187" s="3"/>
      <c r="K1187" s="3"/>
      <c r="L1187" s="3"/>
      <c r="N1187" s="10"/>
      <c r="O1187" s="3"/>
      <c r="P1187" s="3"/>
      <c r="Q1187" s="3"/>
    </row>
    <row r="1188" spans="5:17" x14ac:dyDescent="0.25">
      <c r="E1188" s="2"/>
      <c r="G1188" s="3"/>
      <c r="H1188" s="3"/>
      <c r="I1188" s="3"/>
      <c r="J1188" s="3"/>
      <c r="K1188" s="3"/>
      <c r="L1188" s="3"/>
      <c r="N1188" s="10"/>
      <c r="O1188" s="3"/>
      <c r="P1188" s="3"/>
      <c r="Q1188" s="3"/>
    </row>
    <row r="1189" spans="5:17" x14ac:dyDescent="0.25">
      <c r="E1189" s="2"/>
      <c r="G1189" s="3"/>
      <c r="H1189" s="3"/>
      <c r="I1189" s="3"/>
      <c r="J1189" s="3"/>
      <c r="K1189" s="3"/>
      <c r="L1189" s="3"/>
      <c r="N1189" s="10"/>
      <c r="O1189" s="3"/>
      <c r="P1189" s="3"/>
      <c r="Q1189" s="3"/>
    </row>
    <row r="1190" spans="5:17" x14ac:dyDescent="0.25">
      <c r="E1190" s="2"/>
      <c r="G1190" s="3"/>
      <c r="H1190" s="3"/>
      <c r="I1190" s="3"/>
      <c r="J1190" s="3"/>
      <c r="K1190" s="3"/>
      <c r="L1190" s="3"/>
      <c r="N1190" s="10"/>
      <c r="O1190" s="3"/>
      <c r="P1190" s="3"/>
      <c r="Q1190" s="3"/>
    </row>
    <row r="1191" spans="5:17" x14ac:dyDescent="0.25">
      <c r="E1191" s="2"/>
      <c r="G1191" s="3"/>
      <c r="H1191" s="3"/>
      <c r="I1191" s="3"/>
      <c r="J1191" s="3"/>
      <c r="K1191" s="3"/>
      <c r="L1191" s="3"/>
      <c r="N1191" s="10"/>
      <c r="O1191" s="3"/>
      <c r="P1191" s="3"/>
      <c r="Q1191" s="3"/>
    </row>
    <row r="1192" spans="5:17" x14ac:dyDescent="0.25">
      <c r="E1192" s="2"/>
      <c r="G1192" s="3"/>
      <c r="H1192" s="3"/>
      <c r="I1192" s="3"/>
      <c r="J1192" s="3"/>
      <c r="K1192" s="3"/>
      <c r="L1192" s="3"/>
      <c r="N1192" s="10"/>
      <c r="O1192" s="3"/>
      <c r="P1192" s="3"/>
      <c r="Q1192" s="3"/>
    </row>
    <row r="1193" spans="5:17" x14ac:dyDescent="0.25">
      <c r="E1193" s="2"/>
      <c r="G1193" s="3"/>
      <c r="H1193" s="3"/>
      <c r="I1193" s="3"/>
      <c r="J1193" s="3"/>
      <c r="K1193" s="3"/>
      <c r="L1193" s="3"/>
      <c r="N1193" s="10"/>
      <c r="O1193" s="3"/>
      <c r="P1193" s="3"/>
      <c r="Q1193" s="3"/>
    </row>
    <row r="1194" spans="5:17" x14ac:dyDescent="0.25">
      <c r="E1194" s="2"/>
      <c r="G1194" s="3"/>
      <c r="H1194" s="3"/>
      <c r="I1194" s="3"/>
      <c r="J1194" s="3"/>
      <c r="K1194" s="3"/>
      <c r="L1194" s="3"/>
      <c r="N1194" s="10"/>
      <c r="O1194" s="3"/>
      <c r="P1194" s="3"/>
      <c r="Q1194" s="3"/>
    </row>
    <row r="1195" spans="5:17" x14ac:dyDescent="0.25">
      <c r="E1195" s="2"/>
      <c r="G1195" s="3"/>
      <c r="H1195" s="3"/>
      <c r="I1195" s="3"/>
      <c r="J1195" s="3"/>
      <c r="K1195" s="3"/>
      <c r="L1195" s="3"/>
      <c r="N1195" s="10"/>
      <c r="O1195" s="3"/>
      <c r="P1195" s="3"/>
      <c r="Q1195" s="3"/>
    </row>
    <row r="1196" spans="5:17" x14ac:dyDescent="0.25">
      <c r="E1196" s="2"/>
      <c r="G1196" s="3"/>
      <c r="H1196" s="3"/>
      <c r="I1196" s="3"/>
      <c r="J1196" s="3"/>
      <c r="K1196" s="3"/>
      <c r="L1196" s="3"/>
      <c r="N1196" s="10"/>
      <c r="O1196" s="3"/>
      <c r="P1196" s="3"/>
      <c r="Q1196" s="3"/>
    </row>
    <row r="1197" spans="5:17" x14ac:dyDescent="0.25">
      <c r="E1197" s="2"/>
      <c r="G1197" s="3"/>
      <c r="H1197" s="3"/>
      <c r="I1197" s="3"/>
      <c r="J1197" s="3"/>
      <c r="K1197" s="3"/>
      <c r="L1197" s="3"/>
      <c r="N1197" s="10"/>
      <c r="O1197" s="3"/>
      <c r="P1197" s="3"/>
      <c r="Q1197" s="3"/>
    </row>
    <row r="1198" spans="5:17" x14ac:dyDescent="0.25">
      <c r="E1198" s="2"/>
      <c r="G1198" s="3"/>
      <c r="H1198" s="3"/>
      <c r="I1198" s="3"/>
      <c r="J1198" s="3"/>
      <c r="K1198" s="3"/>
      <c r="L1198" s="3"/>
      <c r="N1198" s="10"/>
      <c r="O1198" s="3"/>
      <c r="P1198" s="3"/>
      <c r="Q1198" s="3"/>
    </row>
    <row r="1199" spans="5:17" x14ac:dyDescent="0.25">
      <c r="E1199" s="2"/>
      <c r="G1199" s="3"/>
      <c r="H1199" s="3"/>
      <c r="I1199" s="3"/>
      <c r="J1199" s="3"/>
      <c r="K1199" s="3"/>
      <c r="L1199" s="3"/>
      <c r="N1199" s="10"/>
      <c r="O1199" s="3"/>
      <c r="P1199" s="3"/>
      <c r="Q1199" s="3"/>
    </row>
    <row r="1200" spans="5:17" x14ac:dyDescent="0.25">
      <c r="E1200" s="2"/>
      <c r="G1200" s="3"/>
      <c r="H1200" s="3"/>
      <c r="I1200" s="3"/>
      <c r="J1200" s="3"/>
      <c r="K1200" s="3"/>
      <c r="L1200" s="3"/>
      <c r="N1200" s="10"/>
      <c r="O1200" s="3"/>
      <c r="P1200" s="3"/>
      <c r="Q1200" s="3"/>
    </row>
    <row r="1201" spans="5:17" x14ac:dyDescent="0.25">
      <c r="E1201" s="2"/>
      <c r="G1201" s="3"/>
      <c r="H1201" s="3"/>
      <c r="I1201" s="3"/>
      <c r="J1201" s="3"/>
      <c r="K1201" s="3"/>
      <c r="L1201" s="3"/>
      <c r="N1201" s="10"/>
      <c r="O1201" s="3"/>
      <c r="P1201" s="3"/>
      <c r="Q1201" s="3"/>
    </row>
    <row r="1202" spans="5:17" x14ac:dyDescent="0.25">
      <c r="E1202" s="2"/>
      <c r="G1202" s="3"/>
      <c r="H1202" s="3"/>
      <c r="I1202" s="3"/>
      <c r="J1202" s="3"/>
      <c r="K1202" s="3"/>
      <c r="L1202" s="3"/>
      <c r="N1202" s="10"/>
      <c r="O1202" s="3"/>
      <c r="P1202" s="3"/>
      <c r="Q1202" s="3"/>
    </row>
    <row r="1203" spans="5:17" x14ac:dyDescent="0.25">
      <c r="E1203" s="2"/>
      <c r="G1203" s="3"/>
      <c r="H1203" s="3"/>
      <c r="I1203" s="3"/>
      <c r="J1203" s="3"/>
      <c r="K1203" s="3"/>
      <c r="L1203" s="3"/>
      <c r="N1203" s="10"/>
      <c r="O1203" s="3"/>
      <c r="P1203" s="3"/>
      <c r="Q1203" s="3"/>
    </row>
    <row r="1204" spans="5:17" x14ac:dyDescent="0.25">
      <c r="E1204" s="2"/>
      <c r="G1204" s="3"/>
      <c r="H1204" s="3"/>
      <c r="I1204" s="3"/>
      <c r="J1204" s="3"/>
      <c r="K1204" s="3"/>
      <c r="L1204" s="3"/>
      <c r="N1204" s="10"/>
      <c r="O1204" s="3"/>
      <c r="P1204" s="3"/>
      <c r="Q1204" s="3"/>
    </row>
    <row r="1205" spans="5:17" x14ac:dyDescent="0.25">
      <c r="E1205" s="2"/>
      <c r="G1205" s="3"/>
      <c r="H1205" s="3"/>
      <c r="I1205" s="3"/>
      <c r="J1205" s="3"/>
      <c r="K1205" s="3"/>
      <c r="L1205" s="3"/>
      <c r="N1205" s="10"/>
      <c r="O1205" s="3"/>
      <c r="P1205" s="3"/>
      <c r="Q1205" s="3"/>
    </row>
    <row r="1206" spans="5:17" x14ac:dyDescent="0.25">
      <c r="E1206" s="2"/>
      <c r="G1206" s="3"/>
      <c r="H1206" s="3"/>
      <c r="I1206" s="3"/>
      <c r="J1206" s="3"/>
      <c r="K1206" s="3"/>
      <c r="L1206" s="3"/>
      <c r="N1206" s="10"/>
      <c r="O1206" s="3"/>
      <c r="P1206" s="3"/>
      <c r="Q1206" s="3"/>
    </row>
    <row r="1207" spans="5:17" x14ac:dyDescent="0.25">
      <c r="E1207" s="2"/>
      <c r="G1207" s="3"/>
      <c r="H1207" s="3"/>
      <c r="I1207" s="3"/>
      <c r="J1207" s="3"/>
      <c r="K1207" s="3"/>
      <c r="L1207" s="3"/>
      <c r="N1207" s="10"/>
      <c r="O1207" s="3"/>
      <c r="P1207" s="3"/>
      <c r="Q1207" s="3"/>
    </row>
    <row r="1208" spans="5:17" x14ac:dyDescent="0.25">
      <c r="E1208" s="2"/>
      <c r="G1208" s="3"/>
      <c r="H1208" s="3"/>
      <c r="I1208" s="3"/>
      <c r="J1208" s="3"/>
      <c r="K1208" s="3"/>
      <c r="L1208" s="3"/>
      <c r="N1208" s="10"/>
      <c r="O1208" s="3"/>
      <c r="P1208" s="3"/>
      <c r="Q1208" s="3"/>
    </row>
    <row r="1209" spans="5:17" x14ac:dyDescent="0.25">
      <c r="E1209" s="2"/>
      <c r="G1209" s="3"/>
      <c r="H1209" s="3"/>
      <c r="I1209" s="3"/>
      <c r="J1209" s="3"/>
      <c r="K1209" s="3"/>
      <c r="L1209" s="3"/>
      <c r="N1209" s="10"/>
      <c r="O1209" s="3"/>
      <c r="P1209" s="3"/>
      <c r="Q1209" s="3"/>
    </row>
    <row r="1210" spans="5:17" x14ac:dyDescent="0.25">
      <c r="E1210" s="2"/>
      <c r="G1210" s="3"/>
      <c r="H1210" s="3"/>
      <c r="I1210" s="3"/>
      <c r="J1210" s="3"/>
      <c r="K1210" s="3"/>
      <c r="L1210" s="3"/>
      <c r="N1210" s="10"/>
      <c r="O1210" s="3"/>
      <c r="P1210" s="3"/>
      <c r="Q1210" s="3"/>
    </row>
    <row r="1211" spans="5:17" x14ac:dyDescent="0.25">
      <c r="E1211" s="2"/>
      <c r="G1211" s="3"/>
      <c r="H1211" s="3"/>
      <c r="I1211" s="3"/>
      <c r="J1211" s="3"/>
      <c r="K1211" s="3"/>
      <c r="L1211" s="3"/>
      <c r="N1211" s="10"/>
      <c r="O1211" s="3"/>
      <c r="P1211" s="3"/>
      <c r="Q1211" s="3"/>
    </row>
    <row r="1212" spans="5:17" x14ac:dyDescent="0.25">
      <c r="E1212" s="2"/>
      <c r="G1212" s="3"/>
      <c r="H1212" s="3"/>
      <c r="I1212" s="3"/>
      <c r="J1212" s="3"/>
      <c r="K1212" s="3"/>
      <c r="L1212" s="3"/>
      <c r="N1212" s="10"/>
      <c r="O1212" s="3"/>
      <c r="P1212" s="3"/>
      <c r="Q1212" s="3"/>
    </row>
    <row r="1213" spans="5:17" x14ac:dyDescent="0.25">
      <c r="E1213" s="2"/>
      <c r="G1213" s="3"/>
      <c r="H1213" s="3"/>
      <c r="I1213" s="3"/>
      <c r="J1213" s="3"/>
      <c r="K1213" s="3"/>
      <c r="L1213" s="3"/>
      <c r="N1213" s="10"/>
      <c r="O1213" s="3"/>
      <c r="P1213" s="3"/>
      <c r="Q1213" s="3"/>
    </row>
    <row r="1214" spans="5:17" x14ac:dyDescent="0.25">
      <c r="E1214" s="2"/>
      <c r="G1214" s="3"/>
      <c r="H1214" s="3"/>
      <c r="I1214" s="3"/>
      <c r="J1214" s="3"/>
      <c r="K1214" s="3"/>
      <c r="L1214" s="3"/>
      <c r="N1214" s="10"/>
      <c r="O1214" s="3"/>
      <c r="P1214" s="3"/>
      <c r="Q1214" s="3"/>
    </row>
    <row r="1215" spans="5:17" x14ac:dyDescent="0.25">
      <c r="E1215" s="2"/>
      <c r="G1215" s="3"/>
      <c r="H1215" s="3"/>
      <c r="I1215" s="3"/>
      <c r="J1215" s="3"/>
      <c r="K1215" s="3"/>
      <c r="L1215" s="3"/>
      <c r="N1215" s="10"/>
      <c r="O1215" s="3"/>
      <c r="P1215" s="3"/>
      <c r="Q1215" s="3"/>
    </row>
    <row r="1216" spans="5:17" x14ac:dyDescent="0.25">
      <c r="E1216" s="2"/>
      <c r="G1216" s="3"/>
      <c r="H1216" s="3"/>
      <c r="I1216" s="3"/>
      <c r="J1216" s="3"/>
      <c r="K1216" s="3"/>
      <c r="L1216" s="3"/>
      <c r="N1216" s="10"/>
      <c r="O1216" s="3"/>
      <c r="P1216" s="3"/>
      <c r="Q1216" s="3"/>
    </row>
    <row r="1217" spans="5:17" x14ac:dyDescent="0.25">
      <c r="E1217" s="2"/>
      <c r="G1217" s="3"/>
      <c r="H1217" s="3"/>
      <c r="I1217" s="3"/>
      <c r="J1217" s="3"/>
      <c r="K1217" s="3"/>
      <c r="L1217" s="3"/>
      <c r="N1217" s="10"/>
      <c r="O1217" s="3"/>
      <c r="P1217" s="3"/>
      <c r="Q1217" s="3"/>
    </row>
    <row r="1218" spans="5:17" x14ac:dyDescent="0.25">
      <c r="E1218" s="2"/>
      <c r="G1218" s="3"/>
      <c r="H1218" s="3"/>
      <c r="I1218" s="3"/>
      <c r="J1218" s="3"/>
      <c r="K1218" s="3"/>
      <c r="L1218" s="3"/>
      <c r="N1218" s="10"/>
      <c r="O1218" s="3"/>
      <c r="P1218" s="3"/>
      <c r="Q1218" s="3"/>
    </row>
    <row r="1219" spans="5:17" x14ac:dyDescent="0.25">
      <c r="E1219" s="2"/>
      <c r="G1219" s="3"/>
      <c r="H1219" s="3"/>
      <c r="I1219" s="3"/>
      <c r="J1219" s="3"/>
      <c r="K1219" s="3"/>
      <c r="L1219" s="3"/>
      <c r="N1219" s="10"/>
      <c r="O1219" s="3"/>
      <c r="P1219" s="3"/>
      <c r="Q1219" s="3"/>
    </row>
    <row r="1220" spans="5:17" x14ac:dyDescent="0.25">
      <c r="E1220" s="2"/>
      <c r="G1220" s="3"/>
      <c r="H1220" s="3"/>
      <c r="I1220" s="3"/>
      <c r="J1220" s="3"/>
      <c r="K1220" s="3"/>
      <c r="L1220" s="3"/>
      <c r="N1220" s="10"/>
      <c r="O1220" s="3"/>
      <c r="P1220" s="3"/>
      <c r="Q1220" s="3"/>
    </row>
    <row r="1221" spans="5:17" x14ac:dyDescent="0.25">
      <c r="E1221" s="2"/>
      <c r="G1221" s="3"/>
      <c r="H1221" s="3"/>
      <c r="I1221" s="3"/>
      <c r="J1221" s="3"/>
      <c r="K1221" s="3"/>
      <c r="L1221" s="3"/>
      <c r="N1221" s="10"/>
      <c r="O1221" s="3"/>
      <c r="P1221" s="3"/>
      <c r="Q1221" s="3"/>
    </row>
    <row r="1222" spans="5:17" x14ac:dyDescent="0.25">
      <c r="E1222" s="2"/>
      <c r="G1222" s="3"/>
      <c r="H1222" s="3"/>
      <c r="I1222" s="3"/>
      <c r="J1222" s="3"/>
      <c r="K1222" s="3"/>
      <c r="L1222" s="3"/>
      <c r="N1222" s="10"/>
      <c r="O1222" s="3"/>
      <c r="P1222" s="3"/>
      <c r="Q1222" s="3"/>
    </row>
    <row r="1223" spans="5:17" x14ac:dyDescent="0.25">
      <c r="E1223" s="2"/>
      <c r="G1223" s="3"/>
      <c r="H1223" s="3"/>
      <c r="I1223" s="3"/>
      <c r="J1223" s="3"/>
      <c r="K1223" s="3"/>
      <c r="L1223" s="3"/>
      <c r="N1223" s="10"/>
      <c r="O1223" s="3"/>
      <c r="P1223" s="3"/>
      <c r="Q1223" s="3"/>
    </row>
    <row r="1224" spans="5:17" x14ac:dyDescent="0.25">
      <c r="E1224" s="2"/>
      <c r="G1224" s="3"/>
      <c r="H1224" s="3"/>
      <c r="I1224" s="3"/>
      <c r="J1224" s="3"/>
      <c r="K1224" s="3"/>
      <c r="L1224" s="3"/>
      <c r="N1224" s="10"/>
      <c r="O1224" s="3"/>
      <c r="P1224" s="3"/>
      <c r="Q1224" s="3"/>
    </row>
    <row r="1225" spans="5:17" x14ac:dyDescent="0.25">
      <c r="E1225" s="2"/>
      <c r="G1225" s="3"/>
      <c r="H1225" s="3"/>
      <c r="I1225" s="3"/>
      <c r="J1225" s="3"/>
      <c r="K1225" s="3"/>
      <c r="L1225" s="3"/>
      <c r="N1225" s="10"/>
      <c r="O1225" s="3"/>
      <c r="P1225" s="3"/>
      <c r="Q1225" s="3"/>
    </row>
    <row r="1226" spans="5:17" x14ac:dyDescent="0.25">
      <c r="E1226" s="2"/>
      <c r="G1226" s="3"/>
      <c r="H1226" s="3"/>
      <c r="I1226" s="3"/>
      <c r="J1226" s="3"/>
      <c r="K1226" s="3"/>
      <c r="L1226" s="3"/>
      <c r="N1226" s="10"/>
      <c r="O1226" s="3"/>
      <c r="P1226" s="3"/>
      <c r="Q1226" s="3"/>
    </row>
    <row r="1227" spans="5:17" x14ac:dyDescent="0.25">
      <c r="E1227" s="2"/>
      <c r="G1227" s="3"/>
      <c r="H1227" s="3"/>
      <c r="I1227" s="3"/>
      <c r="J1227" s="3"/>
      <c r="K1227" s="3"/>
      <c r="L1227" s="3"/>
      <c r="N1227" s="10"/>
      <c r="O1227" s="3"/>
      <c r="P1227" s="3"/>
      <c r="Q1227" s="3"/>
    </row>
    <row r="1228" spans="5:17" x14ac:dyDescent="0.25">
      <c r="E1228" s="2"/>
      <c r="G1228" s="3"/>
      <c r="H1228" s="3"/>
      <c r="I1228" s="3"/>
      <c r="J1228" s="3"/>
      <c r="K1228" s="3"/>
      <c r="L1228" s="3"/>
      <c r="N1228" s="10"/>
      <c r="O1228" s="3"/>
      <c r="P1228" s="3"/>
      <c r="Q1228" s="3"/>
    </row>
    <row r="1229" spans="5:17" x14ac:dyDescent="0.25">
      <c r="E1229" s="2"/>
      <c r="G1229" s="3"/>
      <c r="H1229" s="3"/>
      <c r="I1229" s="3"/>
      <c r="J1229" s="3"/>
      <c r="K1229" s="3"/>
      <c r="L1229" s="3"/>
      <c r="N1229" s="10"/>
      <c r="O1229" s="3"/>
      <c r="P1229" s="3"/>
      <c r="Q1229" s="3"/>
    </row>
    <row r="1230" spans="5:17" x14ac:dyDescent="0.25">
      <c r="E1230" s="2"/>
      <c r="G1230" s="3"/>
      <c r="H1230" s="3"/>
      <c r="I1230" s="3"/>
      <c r="J1230" s="3"/>
      <c r="K1230" s="3"/>
      <c r="L1230" s="3"/>
      <c r="N1230" s="10"/>
      <c r="O1230" s="3"/>
      <c r="P1230" s="3"/>
      <c r="Q1230" s="3"/>
    </row>
    <row r="1231" spans="5:17" x14ac:dyDescent="0.25">
      <c r="E1231" s="2"/>
      <c r="G1231" s="3"/>
      <c r="H1231" s="3"/>
      <c r="I1231" s="3"/>
      <c r="J1231" s="3"/>
      <c r="K1231" s="3"/>
      <c r="L1231" s="3"/>
      <c r="N1231" s="10"/>
      <c r="O1231" s="3"/>
      <c r="P1231" s="3"/>
      <c r="Q1231" s="3"/>
    </row>
    <row r="1232" spans="5:17" x14ac:dyDescent="0.25">
      <c r="E1232" s="2"/>
      <c r="G1232" s="3"/>
      <c r="H1232" s="3"/>
      <c r="I1232" s="3"/>
      <c r="J1232" s="3"/>
      <c r="K1232" s="3"/>
      <c r="L1232" s="3"/>
      <c r="N1232" s="10"/>
      <c r="O1232" s="3"/>
      <c r="P1232" s="3"/>
      <c r="Q1232" s="3"/>
    </row>
    <row r="1233" spans="5:17" x14ac:dyDescent="0.25">
      <c r="E1233" s="2"/>
      <c r="G1233" s="3"/>
      <c r="H1233" s="3"/>
      <c r="I1233" s="3"/>
      <c r="J1233" s="3"/>
      <c r="K1233" s="3"/>
      <c r="L1233" s="3"/>
      <c r="N1233" s="10"/>
      <c r="O1233" s="3"/>
      <c r="P1233" s="3"/>
      <c r="Q1233" s="3"/>
    </row>
    <row r="1234" spans="5:17" x14ac:dyDescent="0.25">
      <c r="E1234" s="2"/>
      <c r="G1234" s="3"/>
      <c r="H1234" s="3"/>
      <c r="I1234" s="3"/>
      <c r="J1234" s="3"/>
      <c r="K1234" s="3"/>
      <c r="L1234" s="3"/>
      <c r="N1234" s="10"/>
      <c r="O1234" s="3"/>
      <c r="P1234" s="3"/>
      <c r="Q1234" s="3"/>
    </row>
    <row r="1235" spans="5:17" x14ac:dyDescent="0.25">
      <c r="E1235" s="2"/>
      <c r="G1235" s="3"/>
      <c r="H1235" s="3"/>
      <c r="I1235" s="3"/>
      <c r="J1235" s="3"/>
      <c r="K1235" s="3"/>
      <c r="L1235" s="3"/>
      <c r="N1235" s="10"/>
      <c r="O1235" s="3"/>
      <c r="P1235" s="3"/>
      <c r="Q1235" s="3"/>
    </row>
    <row r="1236" spans="5:17" x14ac:dyDescent="0.25">
      <c r="E1236" s="2"/>
      <c r="G1236" s="3"/>
      <c r="H1236" s="3"/>
      <c r="I1236" s="3"/>
      <c r="J1236" s="3"/>
      <c r="K1236" s="3"/>
      <c r="L1236" s="3"/>
      <c r="N1236" s="10"/>
      <c r="O1236" s="3"/>
      <c r="P1236" s="3"/>
      <c r="Q1236" s="3"/>
    </row>
    <row r="1237" spans="5:17" x14ac:dyDescent="0.25">
      <c r="E1237" s="2"/>
      <c r="G1237" s="3"/>
      <c r="H1237" s="3"/>
      <c r="I1237" s="3"/>
      <c r="J1237" s="3"/>
      <c r="K1237" s="3"/>
      <c r="L1237" s="3"/>
      <c r="N1237" s="10"/>
      <c r="O1237" s="3"/>
      <c r="P1237" s="3"/>
      <c r="Q1237" s="3"/>
    </row>
    <row r="1238" spans="5:17" x14ac:dyDescent="0.25">
      <c r="E1238" s="2"/>
      <c r="G1238" s="3"/>
      <c r="H1238" s="3"/>
      <c r="I1238" s="3"/>
      <c r="J1238" s="3"/>
      <c r="K1238" s="3"/>
      <c r="L1238" s="3"/>
      <c r="N1238" s="10"/>
      <c r="O1238" s="3"/>
      <c r="P1238" s="3"/>
      <c r="Q1238" s="3"/>
    </row>
    <row r="1239" spans="5:17" x14ac:dyDescent="0.25">
      <c r="E1239" s="2"/>
      <c r="G1239" s="3"/>
      <c r="H1239" s="3"/>
      <c r="I1239" s="3"/>
      <c r="J1239" s="3"/>
      <c r="K1239" s="3"/>
      <c r="L1239" s="3"/>
      <c r="N1239" s="10"/>
      <c r="O1239" s="3"/>
      <c r="P1239" s="3"/>
      <c r="Q1239" s="3"/>
    </row>
    <row r="1240" spans="5:17" x14ac:dyDescent="0.25">
      <c r="E1240" s="2"/>
      <c r="G1240" s="3"/>
      <c r="H1240" s="3"/>
      <c r="I1240" s="3"/>
      <c r="J1240" s="3"/>
      <c r="K1240" s="3"/>
      <c r="L1240" s="3"/>
      <c r="N1240" s="10"/>
      <c r="O1240" s="3"/>
      <c r="P1240" s="3"/>
      <c r="Q1240" s="3"/>
    </row>
    <row r="1241" spans="5:17" x14ac:dyDescent="0.25">
      <c r="E1241" s="2"/>
      <c r="G1241" s="3"/>
      <c r="H1241" s="3"/>
      <c r="I1241" s="3"/>
      <c r="J1241" s="3"/>
      <c r="K1241" s="3"/>
      <c r="L1241" s="3"/>
      <c r="N1241" s="10"/>
      <c r="O1241" s="3"/>
      <c r="P1241" s="3"/>
      <c r="Q1241" s="3"/>
    </row>
    <row r="1242" spans="5:17" x14ac:dyDescent="0.25">
      <c r="E1242" s="2"/>
      <c r="G1242" s="3"/>
      <c r="H1242" s="3"/>
      <c r="I1242" s="3"/>
      <c r="J1242" s="3"/>
      <c r="K1242" s="3"/>
      <c r="L1242" s="3"/>
      <c r="N1242" s="10"/>
      <c r="O1242" s="3"/>
      <c r="P1242" s="3"/>
      <c r="Q1242" s="3"/>
    </row>
    <row r="1243" spans="5:17" x14ac:dyDescent="0.25">
      <c r="E1243" s="2"/>
      <c r="G1243" s="3"/>
      <c r="H1243" s="3"/>
      <c r="I1243" s="3"/>
      <c r="J1243" s="3"/>
      <c r="K1243" s="3"/>
      <c r="L1243" s="3"/>
      <c r="N1243" s="10"/>
      <c r="O1243" s="3"/>
      <c r="P1243" s="3"/>
      <c r="Q1243" s="3"/>
    </row>
    <row r="1244" spans="5:17" x14ac:dyDescent="0.25">
      <c r="E1244" s="2"/>
      <c r="G1244" s="3"/>
      <c r="H1244" s="3"/>
      <c r="I1244" s="3"/>
      <c r="J1244" s="3"/>
      <c r="K1244" s="3"/>
      <c r="L1244" s="3"/>
      <c r="N1244" s="10"/>
      <c r="O1244" s="3"/>
      <c r="P1244" s="3"/>
      <c r="Q1244" s="3"/>
    </row>
    <row r="1245" spans="5:17" x14ac:dyDescent="0.25">
      <c r="E1245" s="2"/>
      <c r="G1245" s="3"/>
      <c r="H1245" s="3"/>
      <c r="I1245" s="3"/>
      <c r="J1245" s="3"/>
      <c r="K1245" s="3"/>
      <c r="L1245" s="3"/>
      <c r="N1245" s="10"/>
      <c r="O1245" s="3"/>
      <c r="P1245" s="3"/>
      <c r="Q1245" s="3"/>
    </row>
    <row r="1246" spans="5:17" x14ac:dyDescent="0.25">
      <c r="E1246" s="2"/>
      <c r="G1246" s="3"/>
      <c r="H1246" s="3"/>
      <c r="I1246" s="3"/>
      <c r="J1246" s="3"/>
      <c r="K1246" s="3"/>
      <c r="L1246" s="3"/>
      <c r="N1246" s="10"/>
      <c r="O1246" s="3"/>
      <c r="P1246" s="3"/>
      <c r="Q1246" s="3"/>
    </row>
    <row r="1247" spans="5:17" x14ac:dyDescent="0.25">
      <c r="E1247" s="2"/>
      <c r="G1247" s="3"/>
      <c r="H1247" s="3"/>
      <c r="I1247" s="3"/>
      <c r="J1247" s="3"/>
      <c r="K1247" s="3"/>
      <c r="L1247" s="3"/>
      <c r="N1247" s="10"/>
      <c r="O1247" s="3"/>
      <c r="P1247" s="3"/>
      <c r="Q1247" s="3"/>
    </row>
    <row r="1248" spans="5:17" x14ac:dyDescent="0.25">
      <c r="E1248" s="2"/>
      <c r="G1248" s="3"/>
      <c r="H1248" s="3"/>
      <c r="I1248" s="3"/>
      <c r="J1248" s="3"/>
      <c r="K1248" s="3"/>
      <c r="L1248" s="3"/>
      <c r="N1248" s="10"/>
      <c r="O1248" s="3"/>
      <c r="P1248" s="3"/>
      <c r="Q1248" s="3"/>
    </row>
    <row r="1249" spans="5:17" x14ac:dyDescent="0.25">
      <c r="E1249" s="2"/>
      <c r="G1249" s="3"/>
      <c r="H1249" s="3"/>
      <c r="I1249" s="3"/>
      <c r="J1249" s="3"/>
      <c r="K1249" s="3"/>
      <c r="L1249" s="3"/>
      <c r="N1249" s="10"/>
      <c r="O1249" s="3"/>
      <c r="P1249" s="3"/>
      <c r="Q1249" s="3"/>
    </row>
    <row r="1250" spans="5:17" x14ac:dyDescent="0.25">
      <c r="E1250" s="2"/>
      <c r="G1250" s="3"/>
      <c r="H1250" s="3"/>
      <c r="I1250" s="3"/>
      <c r="J1250" s="3"/>
      <c r="K1250" s="3"/>
      <c r="L1250" s="3"/>
      <c r="N1250" s="10"/>
      <c r="O1250" s="3"/>
      <c r="P1250" s="3"/>
      <c r="Q1250" s="3"/>
    </row>
    <row r="1251" spans="5:17" x14ac:dyDescent="0.25">
      <c r="E1251" s="2"/>
      <c r="G1251" s="3"/>
      <c r="H1251" s="3"/>
      <c r="I1251" s="3"/>
      <c r="J1251" s="3"/>
      <c r="K1251" s="3"/>
      <c r="L1251" s="3"/>
      <c r="N1251" s="10"/>
      <c r="O1251" s="3"/>
      <c r="P1251" s="3"/>
      <c r="Q1251" s="3"/>
    </row>
    <row r="1252" spans="5:17" x14ac:dyDescent="0.25">
      <c r="E1252" s="2"/>
      <c r="G1252" s="3"/>
      <c r="H1252" s="3"/>
      <c r="I1252" s="3"/>
      <c r="J1252" s="3"/>
      <c r="K1252" s="3"/>
      <c r="L1252" s="3"/>
      <c r="N1252" s="10"/>
      <c r="O1252" s="3"/>
      <c r="P1252" s="3"/>
      <c r="Q1252" s="3"/>
    </row>
    <row r="1253" spans="5:17" x14ac:dyDescent="0.25">
      <c r="E1253" s="2"/>
      <c r="G1253" s="3"/>
      <c r="H1253" s="3"/>
      <c r="I1253" s="3"/>
      <c r="J1253" s="3"/>
      <c r="K1253" s="3"/>
      <c r="L1253" s="3"/>
      <c r="N1253" s="10"/>
      <c r="O1253" s="3"/>
      <c r="P1253" s="3"/>
      <c r="Q1253" s="3"/>
    </row>
    <row r="1254" spans="5:17" x14ac:dyDescent="0.25">
      <c r="E1254" s="2"/>
      <c r="G1254" s="3"/>
      <c r="H1254" s="3"/>
      <c r="I1254" s="3"/>
      <c r="J1254" s="3"/>
      <c r="K1254" s="3"/>
      <c r="L1254" s="3"/>
      <c r="N1254" s="10"/>
      <c r="O1254" s="3"/>
      <c r="P1254" s="3"/>
      <c r="Q1254" s="3"/>
    </row>
    <row r="1255" spans="5:17" x14ac:dyDescent="0.25">
      <c r="E1255" s="2"/>
      <c r="G1255" s="3"/>
      <c r="H1255" s="3"/>
      <c r="I1255" s="3"/>
      <c r="J1255" s="3"/>
      <c r="K1255" s="3"/>
      <c r="L1255" s="3"/>
      <c r="N1255" s="10"/>
      <c r="O1255" s="3"/>
      <c r="P1255" s="3"/>
      <c r="Q1255" s="3"/>
    </row>
    <row r="1256" spans="5:17" x14ac:dyDescent="0.25">
      <c r="E1256" s="2"/>
      <c r="G1256" s="3"/>
      <c r="H1256" s="3"/>
      <c r="I1256" s="3"/>
      <c r="J1256" s="3"/>
      <c r="K1256" s="3"/>
      <c r="L1256" s="3"/>
      <c r="N1256" s="10"/>
      <c r="O1256" s="3"/>
      <c r="P1256" s="3"/>
      <c r="Q1256" s="3"/>
    </row>
    <row r="1257" spans="5:17" x14ac:dyDescent="0.25">
      <c r="E1257" s="2"/>
      <c r="G1257" s="3"/>
      <c r="H1257" s="3"/>
      <c r="I1257" s="3"/>
      <c r="J1257" s="3"/>
      <c r="K1257" s="3"/>
      <c r="L1257" s="3"/>
      <c r="N1257" s="10"/>
      <c r="O1257" s="3"/>
      <c r="P1257" s="3"/>
      <c r="Q1257" s="3"/>
    </row>
    <row r="1258" spans="5:17" x14ac:dyDescent="0.25">
      <c r="E1258" s="2"/>
      <c r="G1258" s="3"/>
      <c r="H1258" s="3"/>
      <c r="I1258" s="3"/>
      <c r="J1258" s="3"/>
      <c r="K1258" s="3"/>
      <c r="L1258" s="3"/>
      <c r="N1258" s="10"/>
      <c r="O1258" s="3"/>
      <c r="P1258" s="3"/>
      <c r="Q1258" s="3"/>
    </row>
    <row r="1259" spans="5:17" x14ac:dyDescent="0.25">
      <c r="E1259" s="2"/>
      <c r="G1259" s="3"/>
      <c r="H1259" s="3"/>
      <c r="I1259" s="3"/>
      <c r="J1259" s="3"/>
      <c r="K1259" s="3"/>
      <c r="L1259" s="3"/>
      <c r="N1259" s="10"/>
      <c r="O1259" s="3"/>
      <c r="P1259" s="3"/>
      <c r="Q1259" s="3"/>
    </row>
    <row r="1260" spans="5:17" x14ac:dyDescent="0.25">
      <c r="E1260" s="2"/>
      <c r="G1260" s="3"/>
      <c r="H1260" s="3"/>
      <c r="I1260" s="3"/>
      <c r="J1260" s="3"/>
      <c r="K1260" s="3"/>
      <c r="L1260" s="3"/>
      <c r="N1260" s="10"/>
      <c r="O1260" s="3"/>
      <c r="P1260" s="3"/>
      <c r="Q1260" s="3"/>
    </row>
    <row r="1261" spans="5:17" x14ac:dyDescent="0.25">
      <c r="E1261" s="2"/>
      <c r="G1261" s="3"/>
      <c r="H1261" s="3"/>
      <c r="I1261" s="3"/>
      <c r="J1261" s="3"/>
      <c r="K1261" s="3"/>
      <c r="L1261" s="3"/>
      <c r="N1261" s="10"/>
      <c r="O1261" s="3"/>
      <c r="P1261" s="3"/>
      <c r="Q1261" s="3"/>
    </row>
    <row r="1262" spans="5:17" x14ac:dyDescent="0.25">
      <c r="E1262" s="2"/>
      <c r="G1262" s="3"/>
      <c r="H1262" s="3"/>
      <c r="I1262" s="3"/>
      <c r="J1262" s="3"/>
      <c r="K1262" s="3"/>
      <c r="L1262" s="3"/>
      <c r="N1262" s="10"/>
      <c r="O1262" s="3"/>
      <c r="P1262" s="3"/>
      <c r="Q1262" s="3"/>
    </row>
    <row r="1263" spans="5:17" x14ac:dyDescent="0.25">
      <c r="E1263" s="2"/>
      <c r="G1263" s="3"/>
      <c r="H1263" s="3"/>
      <c r="I1263" s="3"/>
      <c r="J1263" s="3"/>
      <c r="K1263" s="3"/>
      <c r="L1263" s="3"/>
      <c r="N1263" s="10"/>
      <c r="O1263" s="3"/>
      <c r="P1263" s="3"/>
      <c r="Q1263" s="3"/>
    </row>
    <row r="1264" spans="5:17" x14ac:dyDescent="0.25">
      <c r="E1264" s="2"/>
      <c r="G1264" s="3"/>
      <c r="H1264" s="3"/>
      <c r="I1264" s="3"/>
      <c r="J1264" s="3"/>
      <c r="K1264" s="3"/>
      <c r="L1264" s="3"/>
      <c r="N1264" s="10"/>
      <c r="O1264" s="3"/>
      <c r="P1264" s="3"/>
      <c r="Q1264" s="3"/>
    </row>
    <row r="1265" spans="5:17" x14ac:dyDescent="0.25">
      <c r="E1265" s="2"/>
      <c r="G1265" s="3"/>
      <c r="H1265" s="3"/>
      <c r="I1265" s="3"/>
      <c r="J1265" s="3"/>
      <c r="K1265" s="3"/>
      <c r="L1265" s="3"/>
      <c r="N1265" s="10"/>
      <c r="O1265" s="3"/>
      <c r="P1265" s="3"/>
      <c r="Q1265" s="3"/>
    </row>
    <row r="1266" spans="5:17" x14ac:dyDescent="0.25">
      <c r="E1266" s="2"/>
      <c r="G1266" s="3"/>
      <c r="H1266" s="3"/>
      <c r="I1266" s="3"/>
      <c r="J1266" s="3"/>
      <c r="K1266" s="3"/>
      <c r="L1266" s="3"/>
      <c r="N1266" s="10"/>
      <c r="O1266" s="3"/>
      <c r="P1266" s="3"/>
      <c r="Q1266" s="3"/>
    </row>
    <row r="1267" spans="5:17" x14ac:dyDescent="0.25">
      <c r="E1267" s="2"/>
      <c r="G1267" s="3"/>
      <c r="H1267" s="3"/>
      <c r="I1267" s="3"/>
      <c r="J1267" s="3"/>
      <c r="K1267" s="3"/>
      <c r="L1267" s="3"/>
      <c r="N1267" s="10"/>
      <c r="O1267" s="3"/>
      <c r="P1267" s="3"/>
      <c r="Q1267" s="3"/>
    </row>
    <row r="1268" spans="5:17" x14ac:dyDescent="0.25">
      <c r="E1268" s="2"/>
      <c r="G1268" s="3"/>
      <c r="H1268" s="3"/>
      <c r="I1268" s="3"/>
      <c r="J1268" s="3"/>
      <c r="K1268" s="3"/>
      <c r="L1268" s="3"/>
      <c r="N1268" s="10"/>
      <c r="O1268" s="3"/>
      <c r="P1268" s="3"/>
      <c r="Q1268" s="3"/>
    </row>
    <row r="1269" spans="5:17" x14ac:dyDescent="0.25">
      <c r="E1269" s="2"/>
      <c r="G1269" s="3"/>
      <c r="H1269" s="3"/>
      <c r="I1269" s="3"/>
      <c r="J1269" s="3"/>
      <c r="K1269" s="3"/>
      <c r="L1269" s="3"/>
      <c r="N1269" s="10"/>
      <c r="O1269" s="3"/>
      <c r="P1269" s="3"/>
      <c r="Q1269" s="3"/>
    </row>
    <row r="1270" spans="5:17" x14ac:dyDescent="0.25">
      <c r="E1270" s="2"/>
      <c r="G1270" s="3"/>
      <c r="H1270" s="3"/>
      <c r="I1270" s="3"/>
      <c r="J1270" s="3"/>
      <c r="K1270" s="3"/>
      <c r="L1270" s="3"/>
      <c r="N1270" s="10"/>
      <c r="O1270" s="3"/>
      <c r="P1270" s="3"/>
      <c r="Q1270" s="3"/>
    </row>
    <row r="1271" spans="5:17" x14ac:dyDescent="0.25">
      <c r="E1271" s="2"/>
      <c r="G1271" s="3"/>
      <c r="H1271" s="3"/>
      <c r="I1271" s="3"/>
      <c r="J1271" s="3"/>
      <c r="K1271" s="3"/>
      <c r="L1271" s="3"/>
      <c r="N1271" s="10"/>
      <c r="O1271" s="3"/>
      <c r="P1271" s="3"/>
      <c r="Q1271" s="3"/>
    </row>
    <row r="1272" spans="5:17" x14ac:dyDescent="0.25">
      <c r="E1272" s="2"/>
      <c r="G1272" s="3"/>
      <c r="H1272" s="3"/>
      <c r="I1272" s="3"/>
      <c r="J1272" s="3"/>
      <c r="K1272" s="3"/>
      <c r="L1272" s="3"/>
      <c r="N1272" s="10"/>
      <c r="O1272" s="3"/>
      <c r="P1272" s="3"/>
      <c r="Q1272" s="3"/>
    </row>
    <row r="1273" spans="5:17" x14ac:dyDescent="0.25">
      <c r="E1273" s="2"/>
      <c r="G1273" s="3"/>
      <c r="H1273" s="3"/>
      <c r="I1273" s="3"/>
      <c r="J1273" s="3"/>
      <c r="K1273" s="3"/>
      <c r="L1273" s="3"/>
      <c r="N1273" s="10"/>
      <c r="O1273" s="3"/>
      <c r="P1273" s="3"/>
      <c r="Q1273" s="3"/>
    </row>
    <row r="1274" spans="5:17" x14ac:dyDescent="0.25">
      <c r="E1274" s="2"/>
      <c r="G1274" s="3"/>
      <c r="H1274" s="3"/>
      <c r="I1274" s="3"/>
      <c r="J1274" s="3"/>
      <c r="K1274" s="3"/>
      <c r="L1274" s="3"/>
      <c r="N1274" s="10"/>
      <c r="O1274" s="3"/>
      <c r="P1274" s="3"/>
      <c r="Q1274" s="3"/>
    </row>
    <row r="1275" spans="5:17" x14ac:dyDescent="0.25">
      <c r="E1275" s="2"/>
      <c r="G1275" s="3"/>
      <c r="H1275" s="3"/>
      <c r="I1275" s="3"/>
      <c r="J1275" s="3"/>
      <c r="K1275" s="3"/>
      <c r="L1275" s="3"/>
      <c r="N1275" s="10"/>
      <c r="O1275" s="3"/>
      <c r="P1275" s="3"/>
      <c r="Q1275" s="3"/>
    </row>
    <row r="1276" spans="5:17" x14ac:dyDescent="0.25">
      <c r="E1276" s="2"/>
      <c r="G1276" s="3"/>
      <c r="H1276" s="3"/>
      <c r="I1276" s="3"/>
      <c r="J1276" s="3"/>
      <c r="K1276" s="3"/>
      <c r="L1276" s="3"/>
      <c r="N1276" s="10"/>
      <c r="O1276" s="3"/>
      <c r="P1276" s="3"/>
      <c r="Q1276" s="3"/>
    </row>
    <row r="1277" spans="5:17" x14ac:dyDescent="0.25">
      <c r="E1277" s="2"/>
      <c r="G1277" s="3"/>
      <c r="H1277" s="3"/>
      <c r="I1277" s="3"/>
      <c r="J1277" s="3"/>
      <c r="K1277" s="3"/>
      <c r="L1277" s="3"/>
      <c r="N1277" s="10"/>
      <c r="O1277" s="3"/>
      <c r="P1277" s="3"/>
      <c r="Q1277" s="3"/>
    </row>
    <row r="1278" spans="5:17" x14ac:dyDescent="0.25">
      <c r="E1278" s="2"/>
      <c r="G1278" s="3"/>
      <c r="H1278" s="3"/>
      <c r="I1278" s="3"/>
      <c r="J1278" s="3"/>
      <c r="K1278" s="3"/>
      <c r="L1278" s="3"/>
      <c r="N1278" s="10"/>
      <c r="O1278" s="3"/>
      <c r="P1278" s="3"/>
      <c r="Q1278" s="3"/>
    </row>
    <row r="1279" spans="5:17" x14ac:dyDescent="0.25">
      <c r="E1279" s="2"/>
      <c r="G1279" s="3"/>
      <c r="H1279" s="3"/>
      <c r="I1279" s="3"/>
      <c r="J1279" s="3"/>
      <c r="K1279" s="3"/>
      <c r="L1279" s="3"/>
      <c r="N1279" s="10"/>
      <c r="O1279" s="3"/>
      <c r="P1279" s="3"/>
      <c r="Q1279" s="3"/>
    </row>
    <row r="1280" spans="5:17" x14ac:dyDescent="0.25">
      <c r="E1280" s="2"/>
      <c r="G1280" s="3"/>
      <c r="H1280" s="3"/>
      <c r="I1280" s="3"/>
      <c r="J1280" s="3"/>
      <c r="K1280" s="3"/>
      <c r="L1280" s="3"/>
      <c r="N1280" s="10"/>
      <c r="O1280" s="3"/>
      <c r="P1280" s="3"/>
      <c r="Q1280" s="3"/>
    </row>
    <row r="1281" spans="5:17" x14ac:dyDescent="0.25">
      <c r="E1281" s="2"/>
      <c r="G1281" s="3"/>
      <c r="H1281" s="3"/>
      <c r="I1281" s="3"/>
      <c r="J1281" s="3"/>
      <c r="K1281" s="3"/>
      <c r="L1281" s="3"/>
      <c r="N1281" s="10"/>
      <c r="O1281" s="3"/>
      <c r="P1281" s="3"/>
      <c r="Q1281" s="3"/>
    </row>
    <row r="1282" spans="5:17" x14ac:dyDescent="0.25">
      <c r="E1282" s="2"/>
      <c r="G1282" s="3"/>
      <c r="H1282" s="3"/>
      <c r="I1282" s="3"/>
      <c r="J1282" s="3"/>
      <c r="K1282" s="3"/>
      <c r="L1282" s="3"/>
      <c r="N1282" s="10"/>
      <c r="O1282" s="3"/>
      <c r="P1282" s="3"/>
      <c r="Q1282" s="3"/>
    </row>
    <row r="1283" spans="5:17" x14ac:dyDescent="0.25">
      <c r="E1283" s="2"/>
      <c r="G1283" s="3"/>
      <c r="H1283" s="3"/>
      <c r="I1283" s="3"/>
      <c r="J1283" s="3"/>
      <c r="K1283" s="3"/>
      <c r="L1283" s="3"/>
      <c r="N1283" s="10"/>
      <c r="O1283" s="3"/>
      <c r="P1283" s="3"/>
      <c r="Q1283" s="3"/>
    </row>
    <row r="1284" spans="5:17" x14ac:dyDescent="0.25">
      <c r="E1284" s="2"/>
      <c r="G1284" s="3"/>
      <c r="H1284" s="3"/>
      <c r="I1284" s="3"/>
      <c r="J1284" s="3"/>
      <c r="K1284" s="3"/>
      <c r="L1284" s="3"/>
      <c r="N1284" s="10"/>
      <c r="O1284" s="3"/>
      <c r="P1284" s="3"/>
      <c r="Q1284" s="3"/>
    </row>
    <row r="1285" spans="5:17" x14ac:dyDescent="0.25">
      <c r="E1285" s="2"/>
      <c r="G1285" s="3"/>
      <c r="H1285" s="3"/>
      <c r="I1285" s="3"/>
      <c r="J1285" s="3"/>
      <c r="K1285" s="3"/>
      <c r="L1285" s="3"/>
      <c r="N1285" s="10"/>
      <c r="O1285" s="3"/>
      <c r="P1285" s="3"/>
      <c r="Q1285" s="3"/>
    </row>
    <row r="1286" spans="5:17" x14ac:dyDescent="0.25">
      <c r="E1286" s="2"/>
      <c r="G1286" s="3"/>
      <c r="H1286" s="3"/>
      <c r="I1286" s="3"/>
      <c r="J1286" s="3"/>
      <c r="K1286" s="3"/>
      <c r="L1286" s="3"/>
      <c r="N1286" s="10"/>
      <c r="O1286" s="3"/>
      <c r="P1286" s="3"/>
      <c r="Q1286" s="3"/>
    </row>
    <row r="1287" spans="5:17" x14ac:dyDescent="0.25">
      <c r="E1287" s="2"/>
      <c r="G1287" s="3"/>
      <c r="H1287" s="3"/>
      <c r="I1287" s="3"/>
      <c r="J1287" s="3"/>
      <c r="K1287" s="3"/>
      <c r="L1287" s="3"/>
      <c r="N1287" s="10"/>
      <c r="O1287" s="3"/>
      <c r="P1287" s="3"/>
      <c r="Q1287" s="3"/>
    </row>
    <row r="1288" spans="5:17" x14ac:dyDescent="0.25">
      <c r="E1288" s="2"/>
      <c r="G1288" s="3"/>
      <c r="H1288" s="3"/>
      <c r="I1288" s="3"/>
      <c r="J1288" s="3"/>
      <c r="K1288" s="3"/>
      <c r="L1288" s="3"/>
      <c r="N1288" s="10"/>
      <c r="O1288" s="3"/>
      <c r="P1288" s="3"/>
      <c r="Q1288" s="3"/>
    </row>
    <row r="1289" spans="5:17" x14ac:dyDescent="0.25">
      <c r="E1289" s="2"/>
      <c r="G1289" s="3"/>
      <c r="H1289" s="3"/>
      <c r="I1289" s="3"/>
      <c r="J1289" s="3"/>
      <c r="K1289" s="3"/>
      <c r="L1289" s="3"/>
      <c r="N1289" s="10"/>
      <c r="O1289" s="3"/>
      <c r="P1289" s="3"/>
      <c r="Q1289" s="3"/>
    </row>
    <row r="1290" spans="5:17" x14ac:dyDescent="0.25">
      <c r="E1290" s="2"/>
      <c r="G1290" s="3"/>
      <c r="H1290" s="3"/>
      <c r="I1290" s="3"/>
      <c r="J1290" s="3"/>
      <c r="K1290" s="3"/>
      <c r="L1290" s="3"/>
      <c r="N1290" s="10"/>
      <c r="O1290" s="3"/>
      <c r="P1290" s="3"/>
      <c r="Q1290" s="3"/>
    </row>
    <row r="1291" spans="5:17" x14ac:dyDescent="0.25">
      <c r="E1291" s="2"/>
      <c r="G1291" s="3"/>
      <c r="H1291" s="3"/>
      <c r="I1291" s="3"/>
      <c r="J1291" s="3"/>
      <c r="K1291" s="3"/>
      <c r="L1291" s="3"/>
      <c r="N1291" s="10"/>
      <c r="O1291" s="3"/>
      <c r="P1291" s="3"/>
      <c r="Q1291" s="3"/>
    </row>
    <row r="1292" spans="5:17" x14ac:dyDescent="0.25">
      <c r="E1292" s="2"/>
      <c r="G1292" s="3"/>
      <c r="H1292" s="3"/>
      <c r="I1292" s="3"/>
      <c r="J1292" s="3"/>
      <c r="K1292" s="3"/>
      <c r="L1292" s="3"/>
      <c r="N1292" s="10"/>
      <c r="O1292" s="3"/>
      <c r="P1292" s="3"/>
      <c r="Q1292" s="3"/>
    </row>
    <row r="1293" spans="5:17" x14ac:dyDescent="0.25">
      <c r="E1293" s="2"/>
      <c r="G1293" s="3"/>
      <c r="H1293" s="3"/>
      <c r="I1293" s="3"/>
      <c r="J1293" s="3"/>
      <c r="K1293" s="3"/>
      <c r="L1293" s="3"/>
      <c r="N1293" s="10"/>
      <c r="O1293" s="3"/>
      <c r="P1293" s="3"/>
      <c r="Q1293" s="3"/>
    </row>
    <row r="1294" spans="5:17" x14ac:dyDescent="0.25">
      <c r="E1294" s="2"/>
      <c r="G1294" s="3"/>
      <c r="H1294" s="3"/>
      <c r="I1294" s="3"/>
      <c r="J1294" s="3"/>
      <c r="K1294" s="3"/>
      <c r="L1294" s="3"/>
      <c r="N1294" s="10"/>
      <c r="O1294" s="3"/>
      <c r="P1294" s="3"/>
      <c r="Q1294" s="3"/>
    </row>
    <row r="1295" spans="5:17" x14ac:dyDescent="0.25">
      <c r="E1295" s="2"/>
      <c r="G1295" s="3"/>
      <c r="H1295" s="3"/>
      <c r="I1295" s="3"/>
      <c r="J1295" s="3"/>
      <c r="K1295" s="3"/>
      <c r="L1295" s="3"/>
      <c r="N1295" s="10"/>
      <c r="O1295" s="3"/>
      <c r="P1295" s="3"/>
      <c r="Q1295" s="3"/>
    </row>
    <row r="1296" spans="5:17" x14ac:dyDescent="0.25">
      <c r="E1296" s="2"/>
      <c r="G1296" s="3"/>
      <c r="H1296" s="3"/>
      <c r="I1296" s="3"/>
      <c r="J1296" s="3"/>
      <c r="K1296" s="3"/>
      <c r="L1296" s="3"/>
      <c r="N1296" s="10"/>
      <c r="O1296" s="3"/>
      <c r="P1296" s="3"/>
      <c r="Q1296" s="3"/>
    </row>
    <row r="1297" spans="5:17" x14ac:dyDescent="0.25">
      <c r="E1297" s="2"/>
      <c r="G1297" s="3"/>
      <c r="H1297" s="3"/>
      <c r="I1297" s="3"/>
      <c r="J1297" s="3"/>
      <c r="K1297" s="3"/>
      <c r="L1297" s="3"/>
      <c r="N1297" s="10"/>
      <c r="O1297" s="3"/>
      <c r="P1297" s="3"/>
      <c r="Q1297" s="3"/>
    </row>
    <row r="1298" spans="5:17" x14ac:dyDescent="0.25">
      <c r="E1298" s="2"/>
      <c r="G1298" s="3"/>
      <c r="H1298" s="3"/>
      <c r="I1298" s="3"/>
      <c r="J1298" s="3"/>
      <c r="K1298" s="3"/>
      <c r="L1298" s="3"/>
      <c r="N1298" s="10"/>
      <c r="O1298" s="3"/>
      <c r="P1298" s="3"/>
      <c r="Q1298" s="3"/>
    </row>
    <row r="1299" spans="5:17" x14ac:dyDescent="0.25">
      <c r="E1299" s="2"/>
      <c r="G1299" s="3"/>
      <c r="H1299" s="3"/>
      <c r="I1299" s="3"/>
      <c r="J1299" s="3"/>
      <c r="K1299" s="3"/>
      <c r="L1299" s="3"/>
      <c r="N1299" s="10"/>
      <c r="O1299" s="3"/>
      <c r="P1299" s="3"/>
      <c r="Q1299" s="3"/>
    </row>
    <row r="1300" spans="5:17" x14ac:dyDescent="0.25">
      <c r="E1300" s="2"/>
      <c r="G1300" s="3"/>
      <c r="H1300" s="3"/>
      <c r="I1300" s="3"/>
      <c r="J1300" s="3"/>
      <c r="K1300" s="3"/>
      <c r="L1300" s="3"/>
      <c r="N1300" s="10"/>
      <c r="O1300" s="3"/>
      <c r="P1300" s="3"/>
      <c r="Q1300" s="3"/>
    </row>
    <row r="1301" spans="5:17" x14ac:dyDescent="0.25">
      <c r="E1301" s="2"/>
      <c r="G1301" s="3"/>
      <c r="H1301" s="3"/>
      <c r="I1301" s="3"/>
      <c r="J1301" s="3"/>
      <c r="K1301" s="3"/>
      <c r="L1301" s="3"/>
      <c r="N1301" s="10"/>
      <c r="O1301" s="3"/>
      <c r="P1301" s="3"/>
      <c r="Q1301" s="3"/>
    </row>
    <row r="1302" spans="5:17" x14ac:dyDescent="0.25">
      <c r="E1302" s="2"/>
      <c r="G1302" s="3"/>
      <c r="H1302" s="3"/>
      <c r="I1302" s="3"/>
      <c r="J1302" s="3"/>
      <c r="K1302" s="3"/>
      <c r="L1302" s="3"/>
      <c r="N1302" s="10"/>
      <c r="O1302" s="3"/>
      <c r="P1302" s="3"/>
      <c r="Q1302" s="3"/>
    </row>
    <row r="1303" spans="5:17" x14ac:dyDescent="0.25">
      <c r="E1303" s="2"/>
      <c r="G1303" s="3"/>
      <c r="H1303" s="3"/>
      <c r="I1303" s="3"/>
      <c r="J1303" s="3"/>
      <c r="K1303" s="3"/>
      <c r="L1303" s="3"/>
      <c r="N1303" s="10"/>
      <c r="O1303" s="3"/>
      <c r="P1303" s="3"/>
      <c r="Q1303" s="3"/>
    </row>
    <row r="1304" spans="5:17" x14ac:dyDescent="0.25">
      <c r="E1304" s="2"/>
      <c r="G1304" s="3"/>
      <c r="H1304" s="3"/>
      <c r="I1304" s="3"/>
      <c r="J1304" s="3"/>
      <c r="K1304" s="3"/>
      <c r="L1304" s="3"/>
      <c r="N1304" s="10"/>
      <c r="O1304" s="3"/>
      <c r="P1304" s="3"/>
      <c r="Q1304" s="3"/>
    </row>
    <row r="1305" spans="5:17" x14ac:dyDescent="0.25">
      <c r="E1305" s="2"/>
      <c r="G1305" s="3"/>
      <c r="H1305" s="3"/>
      <c r="I1305" s="3"/>
      <c r="J1305" s="3"/>
      <c r="K1305" s="3"/>
      <c r="L1305" s="3"/>
      <c r="N1305" s="10"/>
      <c r="O1305" s="3"/>
      <c r="P1305" s="3"/>
      <c r="Q1305" s="3"/>
    </row>
    <row r="1306" spans="5:17" x14ac:dyDescent="0.25">
      <c r="E1306" s="2"/>
      <c r="G1306" s="3"/>
      <c r="H1306" s="3"/>
      <c r="I1306" s="3"/>
      <c r="J1306" s="3"/>
      <c r="K1306" s="3"/>
      <c r="L1306" s="3"/>
      <c r="N1306" s="10"/>
      <c r="O1306" s="3"/>
      <c r="P1306" s="3"/>
      <c r="Q1306" s="3"/>
    </row>
    <row r="1307" spans="5:17" x14ac:dyDescent="0.25">
      <c r="E1307" s="2"/>
      <c r="G1307" s="3"/>
      <c r="H1307" s="3"/>
      <c r="I1307" s="3"/>
      <c r="J1307" s="3"/>
      <c r="K1307" s="3"/>
      <c r="L1307" s="3"/>
      <c r="N1307" s="10"/>
      <c r="O1307" s="3"/>
      <c r="P1307" s="3"/>
      <c r="Q1307" s="3"/>
    </row>
    <row r="1308" spans="5:17" x14ac:dyDescent="0.25">
      <c r="E1308" s="2"/>
      <c r="G1308" s="3"/>
      <c r="H1308" s="3"/>
      <c r="I1308" s="3"/>
      <c r="J1308" s="3"/>
      <c r="K1308" s="3"/>
      <c r="L1308" s="3"/>
      <c r="N1308" s="10"/>
      <c r="O1308" s="3"/>
      <c r="P1308" s="3"/>
      <c r="Q1308" s="3"/>
    </row>
    <row r="1309" spans="5:17" x14ac:dyDescent="0.25">
      <c r="E1309" s="2"/>
      <c r="G1309" s="3"/>
      <c r="H1309" s="3"/>
      <c r="I1309" s="3"/>
      <c r="J1309" s="3"/>
      <c r="K1309" s="3"/>
      <c r="L1309" s="3"/>
      <c r="N1309" s="10"/>
      <c r="O1309" s="3"/>
      <c r="P1309" s="3"/>
      <c r="Q1309" s="3"/>
    </row>
    <row r="1310" spans="5:17" x14ac:dyDescent="0.25">
      <c r="E1310" s="2"/>
      <c r="G1310" s="3"/>
      <c r="H1310" s="3"/>
      <c r="I1310" s="3"/>
      <c r="J1310" s="3"/>
      <c r="K1310" s="3"/>
      <c r="L1310" s="3"/>
      <c r="N1310" s="10"/>
      <c r="O1310" s="3"/>
      <c r="P1310" s="3"/>
      <c r="Q1310" s="3"/>
    </row>
    <row r="1311" spans="5:17" x14ac:dyDescent="0.25">
      <c r="E1311" s="2"/>
      <c r="G1311" s="3"/>
      <c r="H1311" s="3"/>
      <c r="I1311" s="3"/>
      <c r="J1311" s="3"/>
      <c r="K1311" s="3"/>
      <c r="L1311" s="3"/>
      <c r="N1311" s="10"/>
      <c r="O1311" s="3"/>
      <c r="P1311" s="3"/>
      <c r="Q1311" s="3"/>
    </row>
    <row r="1312" spans="5:17" x14ac:dyDescent="0.25">
      <c r="E1312" s="2"/>
      <c r="G1312" s="3"/>
      <c r="H1312" s="3"/>
      <c r="I1312" s="3"/>
      <c r="J1312" s="3"/>
      <c r="K1312" s="3"/>
      <c r="L1312" s="3"/>
      <c r="N1312" s="10"/>
      <c r="O1312" s="3"/>
      <c r="P1312" s="3"/>
      <c r="Q1312" s="3"/>
    </row>
    <row r="1313" spans="5:17" x14ac:dyDescent="0.25">
      <c r="E1313" s="2"/>
      <c r="G1313" s="3"/>
      <c r="H1313" s="3"/>
      <c r="I1313" s="3"/>
      <c r="J1313" s="3"/>
      <c r="K1313" s="3"/>
      <c r="L1313" s="3"/>
      <c r="N1313" s="10"/>
      <c r="O1313" s="3"/>
      <c r="P1313" s="3"/>
      <c r="Q1313" s="3"/>
    </row>
    <row r="1314" spans="5:17" x14ac:dyDescent="0.25">
      <c r="E1314" s="2"/>
      <c r="G1314" s="3"/>
      <c r="H1314" s="3"/>
      <c r="I1314" s="3"/>
      <c r="J1314" s="3"/>
      <c r="K1314" s="3"/>
      <c r="L1314" s="3"/>
      <c r="N1314" s="10"/>
      <c r="O1314" s="3"/>
      <c r="P1314" s="3"/>
      <c r="Q1314" s="3"/>
    </row>
    <row r="1315" spans="5:17" x14ac:dyDescent="0.25">
      <c r="E1315" s="2"/>
      <c r="G1315" s="3"/>
      <c r="H1315" s="3"/>
      <c r="I1315" s="3"/>
      <c r="J1315" s="3"/>
      <c r="K1315" s="3"/>
      <c r="L1315" s="3"/>
      <c r="N1315" s="10"/>
      <c r="O1315" s="3"/>
      <c r="P1315" s="3"/>
      <c r="Q1315" s="3"/>
    </row>
    <row r="1316" spans="5:17" x14ac:dyDescent="0.25">
      <c r="E1316" s="2"/>
      <c r="G1316" s="3"/>
      <c r="H1316" s="3"/>
      <c r="I1316" s="3"/>
      <c r="J1316" s="3"/>
      <c r="K1316" s="3"/>
      <c r="L1316" s="3"/>
      <c r="N1316" s="10"/>
      <c r="O1316" s="3"/>
      <c r="P1316" s="3"/>
      <c r="Q1316" s="3"/>
    </row>
    <row r="1317" spans="5:17" x14ac:dyDescent="0.25">
      <c r="E1317" s="2"/>
      <c r="G1317" s="3"/>
      <c r="H1317" s="3"/>
      <c r="I1317" s="3"/>
      <c r="J1317" s="3"/>
      <c r="K1317" s="3"/>
      <c r="L1317" s="3"/>
      <c r="N1317" s="10"/>
      <c r="O1317" s="3"/>
      <c r="P1317" s="3"/>
      <c r="Q1317" s="3"/>
    </row>
    <row r="1318" spans="5:17" x14ac:dyDescent="0.25">
      <c r="E1318" s="2"/>
      <c r="G1318" s="3"/>
      <c r="H1318" s="3"/>
      <c r="I1318" s="3"/>
      <c r="J1318" s="3"/>
      <c r="K1318" s="3"/>
      <c r="L1318" s="3"/>
      <c r="N1318" s="10"/>
      <c r="O1318" s="3"/>
      <c r="P1318" s="3"/>
      <c r="Q1318" s="3"/>
    </row>
    <row r="1319" spans="5:17" x14ac:dyDescent="0.25">
      <c r="E1319" s="2"/>
      <c r="G1319" s="3"/>
      <c r="H1319" s="3"/>
      <c r="I1319" s="3"/>
      <c r="J1319" s="3"/>
      <c r="K1319" s="3"/>
      <c r="L1319" s="3"/>
      <c r="N1319" s="10"/>
      <c r="O1319" s="3"/>
      <c r="P1319" s="3"/>
      <c r="Q1319" s="3"/>
    </row>
    <row r="1320" spans="5:17" x14ac:dyDescent="0.25">
      <c r="E1320" s="2"/>
      <c r="G1320" s="3"/>
      <c r="H1320" s="3"/>
      <c r="I1320" s="3"/>
      <c r="J1320" s="3"/>
      <c r="K1320" s="3"/>
      <c r="L1320" s="3"/>
      <c r="N1320" s="10"/>
      <c r="O1320" s="3"/>
      <c r="P1320" s="3"/>
      <c r="Q1320" s="3"/>
    </row>
    <row r="1321" spans="5:17" x14ac:dyDescent="0.25">
      <c r="E1321" s="2"/>
      <c r="G1321" s="3"/>
      <c r="H1321" s="3"/>
      <c r="I1321" s="3"/>
      <c r="J1321" s="3"/>
      <c r="K1321" s="3"/>
      <c r="L1321" s="3"/>
      <c r="N1321" s="10"/>
      <c r="O1321" s="3"/>
      <c r="P1321" s="3"/>
      <c r="Q1321" s="3"/>
    </row>
    <row r="1322" spans="5:17" x14ac:dyDescent="0.25">
      <c r="E1322" s="2"/>
      <c r="G1322" s="3"/>
      <c r="H1322" s="3"/>
      <c r="I1322" s="3"/>
      <c r="J1322" s="3"/>
      <c r="K1322" s="3"/>
      <c r="L1322" s="3"/>
      <c r="N1322" s="10"/>
      <c r="O1322" s="3"/>
      <c r="P1322" s="3"/>
      <c r="Q1322" s="3"/>
    </row>
    <row r="1323" spans="5:17" x14ac:dyDescent="0.25">
      <c r="E1323" s="2"/>
      <c r="G1323" s="3"/>
      <c r="H1323" s="3"/>
      <c r="I1323" s="3"/>
      <c r="J1323" s="3"/>
      <c r="K1323" s="3"/>
      <c r="L1323" s="3"/>
      <c r="N1323" s="10"/>
      <c r="O1323" s="3"/>
      <c r="P1323" s="3"/>
      <c r="Q1323" s="3"/>
    </row>
    <row r="1324" spans="5:17" x14ac:dyDescent="0.25">
      <c r="E1324" s="2"/>
      <c r="G1324" s="3"/>
      <c r="H1324" s="3"/>
      <c r="I1324" s="3"/>
      <c r="J1324" s="3"/>
      <c r="K1324" s="3"/>
      <c r="L1324" s="3"/>
      <c r="N1324" s="10"/>
      <c r="O1324" s="3"/>
      <c r="P1324" s="3"/>
      <c r="Q1324" s="3"/>
    </row>
    <row r="1325" spans="5:17" x14ac:dyDescent="0.25">
      <c r="E1325" s="2"/>
      <c r="G1325" s="3"/>
      <c r="H1325" s="3"/>
      <c r="I1325" s="3"/>
      <c r="J1325" s="3"/>
      <c r="K1325" s="3"/>
      <c r="L1325" s="3"/>
      <c r="N1325" s="10"/>
      <c r="O1325" s="3"/>
      <c r="P1325" s="3"/>
      <c r="Q1325" s="3"/>
    </row>
    <row r="1326" spans="5:17" x14ac:dyDescent="0.25">
      <c r="E1326" s="2"/>
      <c r="G1326" s="3"/>
      <c r="H1326" s="3"/>
      <c r="I1326" s="3"/>
      <c r="J1326" s="3"/>
      <c r="K1326" s="3"/>
      <c r="L1326" s="3"/>
      <c r="N1326" s="10"/>
      <c r="O1326" s="3"/>
      <c r="P1326" s="3"/>
      <c r="Q1326" s="3"/>
    </row>
    <row r="1327" spans="5:17" x14ac:dyDescent="0.25">
      <c r="E1327" s="2"/>
      <c r="G1327" s="3"/>
      <c r="H1327" s="3"/>
      <c r="I1327" s="3"/>
      <c r="J1327" s="3"/>
      <c r="K1327" s="3"/>
      <c r="L1327" s="3"/>
      <c r="N1327" s="10"/>
      <c r="O1327" s="3"/>
      <c r="P1327" s="3"/>
      <c r="Q1327" s="3"/>
    </row>
    <row r="1328" spans="5:17" x14ac:dyDescent="0.25">
      <c r="E1328" s="2"/>
      <c r="G1328" s="3"/>
      <c r="H1328" s="3"/>
      <c r="I1328" s="3"/>
      <c r="J1328" s="3"/>
      <c r="K1328" s="3"/>
      <c r="L1328" s="3"/>
      <c r="N1328" s="10"/>
      <c r="O1328" s="3"/>
      <c r="P1328" s="3"/>
      <c r="Q1328" s="3"/>
    </row>
    <row r="1329" spans="5:17" x14ac:dyDescent="0.25">
      <c r="E1329" s="2"/>
      <c r="G1329" s="3"/>
      <c r="H1329" s="3"/>
      <c r="I1329" s="3"/>
      <c r="J1329" s="3"/>
      <c r="K1329" s="3"/>
      <c r="L1329" s="3"/>
      <c r="N1329" s="10"/>
      <c r="O1329" s="3"/>
      <c r="P1329" s="3"/>
      <c r="Q1329" s="3"/>
    </row>
    <row r="1330" spans="5:17" x14ac:dyDescent="0.25">
      <c r="E1330" s="2"/>
      <c r="G1330" s="3"/>
      <c r="H1330" s="3"/>
      <c r="I1330" s="3"/>
      <c r="J1330" s="3"/>
      <c r="K1330" s="3"/>
      <c r="L1330" s="3"/>
      <c r="N1330" s="10"/>
      <c r="O1330" s="3"/>
      <c r="P1330" s="3"/>
      <c r="Q1330" s="3"/>
    </row>
    <row r="1331" spans="5:17" x14ac:dyDescent="0.25">
      <c r="E1331" s="2"/>
      <c r="G1331" s="3"/>
      <c r="H1331" s="3"/>
      <c r="I1331" s="3"/>
      <c r="J1331" s="3"/>
      <c r="K1331" s="3"/>
      <c r="L1331" s="3"/>
      <c r="N1331" s="10"/>
      <c r="O1331" s="3"/>
      <c r="P1331" s="3"/>
      <c r="Q1331" s="3"/>
    </row>
    <row r="1332" spans="5:17" x14ac:dyDescent="0.25">
      <c r="E1332" s="2"/>
      <c r="G1332" s="3"/>
      <c r="H1332" s="3"/>
      <c r="I1332" s="3"/>
      <c r="J1332" s="3"/>
      <c r="K1332" s="3"/>
      <c r="L1332" s="3"/>
      <c r="N1332" s="10"/>
      <c r="O1332" s="3"/>
      <c r="P1332" s="3"/>
      <c r="Q1332" s="3"/>
    </row>
    <row r="1333" spans="5:17" x14ac:dyDescent="0.25">
      <c r="E1333" s="2"/>
      <c r="G1333" s="3"/>
      <c r="H1333" s="3"/>
      <c r="I1333" s="3"/>
      <c r="J1333" s="3"/>
      <c r="K1333" s="3"/>
      <c r="L1333" s="3"/>
      <c r="N1333" s="10"/>
      <c r="O1333" s="3"/>
      <c r="P1333" s="3"/>
      <c r="Q1333" s="3"/>
    </row>
    <row r="1334" spans="5:17" x14ac:dyDescent="0.25">
      <c r="E1334" s="2"/>
      <c r="G1334" s="3"/>
      <c r="H1334" s="3"/>
      <c r="I1334" s="3"/>
      <c r="J1334" s="3"/>
      <c r="K1334" s="3"/>
      <c r="L1334" s="3"/>
      <c r="N1334" s="10"/>
      <c r="O1334" s="3"/>
      <c r="P1334" s="3"/>
      <c r="Q1334" s="3"/>
    </row>
    <row r="1335" spans="5:17" x14ac:dyDescent="0.25">
      <c r="E1335" s="2"/>
      <c r="G1335" s="3"/>
      <c r="H1335" s="3"/>
      <c r="I1335" s="3"/>
      <c r="J1335" s="3"/>
      <c r="K1335" s="3"/>
      <c r="L1335" s="3"/>
      <c r="N1335" s="10"/>
      <c r="O1335" s="3"/>
      <c r="P1335" s="3"/>
      <c r="Q1335" s="3"/>
    </row>
    <row r="1336" spans="5:17" x14ac:dyDescent="0.25">
      <c r="E1336" s="2"/>
      <c r="G1336" s="3"/>
      <c r="H1336" s="3"/>
      <c r="I1336" s="3"/>
      <c r="J1336" s="3"/>
      <c r="K1336" s="3"/>
      <c r="L1336" s="3"/>
      <c r="N1336" s="10"/>
      <c r="O1336" s="3"/>
      <c r="P1336" s="3"/>
      <c r="Q1336" s="3"/>
    </row>
    <row r="1337" spans="5:17" x14ac:dyDescent="0.25">
      <c r="E1337" s="2"/>
      <c r="G1337" s="3"/>
      <c r="H1337" s="3"/>
      <c r="I1337" s="3"/>
      <c r="J1337" s="3"/>
      <c r="K1337" s="3"/>
      <c r="L1337" s="3"/>
      <c r="N1337" s="10"/>
      <c r="O1337" s="3"/>
      <c r="P1337" s="3"/>
      <c r="Q1337" s="3"/>
    </row>
    <row r="1338" spans="5:17" x14ac:dyDescent="0.25">
      <c r="E1338" s="2"/>
      <c r="G1338" s="3"/>
      <c r="H1338" s="3"/>
      <c r="I1338" s="3"/>
      <c r="J1338" s="3"/>
      <c r="K1338" s="3"/>
      <c r="L1338" s="3"/>
      <c r="N1338" s="10"/>
      <c r="O1338" s="3"/>
      <c r="P1338" s="3"/>
      <c r="Q1338" s="3"/>
    </row>
    <row r="1339" spans="5:17" x14ac:dyDescent="0.25">
      <c r="E1339" s="2"/>
      <c r="G1339" s="3"/>
      <c r="H1339" s="3"/>
      <c r="I1339" s="3"/>
      <c r="J1339" s="3"/>
      <c r="K1339" s="3"/>
      <c r="L1339" s="3"/>
      <c r="N1339" s="10"/>
      <c r="O1339" s="3"/>
      <c r="P1339" s="3"/>
      <c r="Q1339" s="3"/>
    </row>
    <row r="1340" spans="5:17" x14ac:dyDescent="0.25">
      <c r="E1340" s="2"/>
      <c r="G1340" s="3"/>
      <c r="H1340" s="3"/>
      <c r="I1340" s="3"/>
      <c r="J1340" s="3"/>
      <c r="K1340" s="3"/>
      <c r="L1340" s="3"/>
      <c r="N1340" s="10"/>
      <c r="O1340" s="3"/>
      <c r="P1340" s="3"/>
      <c r="Q1340" s="3"/>
    </row>
    <row r="1341" spans="5:17" x14ac:dyDescent="0.25">
      <c r="E1341" s="2"/>
      <c r="G1341" s="3"/>
      <c r="H1341" s="3"/>
      <c r="I1341" s="3"/>
      <c r="J1341" s="3"/>
      <c r="K1341" s="3"/>
      <c r="L1341" s="3"/>
      <c r="N1341" s="10"/>
      <c r="O1341" s="3"/>
      <c r="P1341" s="3"/>
      <c r="Q1341" s="3"/>
    </row>
    <row r="1342" spans="5:17" x14ac:dyDescent="0.25">
      <c r="E1342" s="2"/>
      <c r="G1342" s="3"/>
      <c r="H1342" s="3"/>
      <c r="I1342" s="3"/>
      <c r="J1342" s="3"/>
      <c r="K1342" s="3"/>
      <c r="L1342" s="3"/>
      <c r="N1342" s="10"/>
      <c r="O1342" s="3"/>
      <c r="P1342" s="3"/>
      <c r="Q1342" s="3"/>
    </row>
    <row r="1343" spans="5:17" x14ac:dyDescent="0.25">
      <c r="E1343" s="2"/>
      <c r="G1343" s="3"/>
      <c r="H1343" s="3"/>
      <c r="I1343" s="3"/>
      <c r="J1343" s="3"/>
      <c r="K1343" s="3"/>
      <c r="L1343" s="3"/>
      <c r="N1343" s="10"/>
      <c r="O1343" s="3"/>
      <c r="P1343" s="3"/>
      <c r="Q1343" s="3"/>
    </row>
    <row r="1344" spans="5:17" x14ac:dyDescent="0.25">
      <c r="E1344" s="2"/>
      <c r="G1344" s="3"/>
      <c r="H1344" s="3"/>
      <c r="I1344" s="3"/>
      <c r="J1344" s="3"/>
      <c r="K1344" s="3"/>
      <c r="L1344" s="3"/>
      <c r="N1344" s="10"/>
      <c r="O1344" s="3"/>
      <c r="P1344" s="3"/>
      <c r="Q1344" s="3"/>
    </row>
    <row r="1345" spans="5:17" x14ac:dyDescent="0.25">
      <c r="E1345" s="2"/>
      <c r="G1345" s="3"/>
      <c r="H1345" s="3"/>
      <c r="I1345" s="3"/>
      <c r="J1345" s="3"/>
      <c r="K1345" s="3"/>
      <c r="L1345" s="3"/>
      <c r="N1345" s="10"/>
      <c r="O1345" s="3"/>
      <c r="P1345" s="3"/>
      <c r="Q1345" s="3"/>
    </row>
    <row r="1346" spans="5:17" x14ac:dyDescent="0.25">
      <c r="E1346" s="2"/>
      <c r="G1346" s="3"/>
      <c r="H1346" s="3"/>
      <c r="I1346" s="3"/>
      <c r="J1346" s="3"/>
      <c r="K1346" s="3"/>
      <c r="L1346" s="3"/>
      <c r="N1346" s="10"/>
      <c r="O1346" s="3"/>
      <c r="P1346" s="3"/>
      <c r="Q1346" s="3"/>
    </row>
    <row r="1347" spans="5:17" x14ac:dyDescent="0.25">
      <c r="E1347" s="2"/>
      <c r="G1347" s="3"/>
      <c r="H1347" s="3"/>
      <c r="I1347" s="3"/>
      <c r="J1347" s="3"/>
      <c r="K1347" s="3"/>
      <c r="L1347" s="3"/>
      <c r="N1347" s="10"/>
      <c r="O1347" s="3"/>
      <c r="P1347" s="3"/>
      <c r="Q1347" s="3"/>
    </row>
    <row r="1348" spans="5:17" x14ac:dyDescent="0.25">
      <c r="E1348" s="2"/>
      <c r="G1348" s="3"/>
      <c r="H1348" s="3"/>
      <c r="I1348" s="3"/>
      <c r="J1348" s="3"/>
      <c r="K1348" s="3"/>
      <c r="L1348" s="3"/>
      <c r="N1348" s="10"/>
      <c r="O1348" s="3"/>
      <c r="P1348" s="3"/>
      <c r="Q1348" s="3"/>
    </row>
    <row r="1349" spans="5:17" x14ac:dyDescent="0.25">
      <c r="E1349" s="2"/>
      <c r="G1349" s="3"/>
      <c r="H1349" s="3"/>
      <c r="I1349" s="3"/>
      <c r="J1349" s="3"/>
      <c r="K1349" s="3"/>
      <c r="L1349" s="3"/>
      <c r="N1349" s="10"/>
      <c r="O1349" s="3"/>
      <c r="P1349" s="3"/>
      <c r="Q1349" s="3"/>
    </row>
    <row r="1350" spans="5:17" x14ac:dyDescent="0.25">
      <c r="E1350" s="2"/>
      <c r="G1350" s="3"/>
      <c r="H1350" s="3"/>
      <c r="I1350" s="3"/>
      <c r="J1350" s="3"/>
      <c r="K1350" s="3"/>
      <c r="L1350" s="3"/>
      <c r="N1350" s="10"/>
      <c r="O1350" s="3"/>
      <c r="P1350" s="3"/>
      <c r="Q1350" s="3"/>
    </row>
    <row r="1351" spans="5:17" x14ac:dyDescent="0.25">
      <c r="E1351" s="2"/>
      <c r="G1351" s="3"/>
      <c r="H1351" s="3"/>
      <c r="I1351" s="3"/>
      <c r="J1351" s="3"/>
      <c r="K1351" s="3"/>
      <c r="L1351" s="3"/>
      <c r="N1351" s="10"/>
      <c r="O1351" s="3"/>
      <c r="P1351" s="3"/>
      <c r="Q1351" s="3"/>
    </row>
    <row r="1352" spans="5:17" x14ac:dyDescent="0.25">
      <c r="E1352" s="2"/>
      <c r="G1352" s="3"/>
      <c r="H1352" s="3"/>
      <c r="I1352" s="3"/>
      <c r="J1352" s="3"/>
      <c r="K1352" s="3"/>
      <c r="L1352" s="3"/>
      <c r="N1352" s="10"/>
      <c r="O1352" s="3"/>
      <c r="P1352" s="3"/>
      <c r="Q1352" s="3"/>
    </row>
    <row r="1353" spans="5:17" x14ac:dyDescent="0.25">
      <c r="E1353" s="2"/>
      <c r="G1353" s="3"/>
      <c r="H1353" s="3"/>
      <c r="I1353" s="3"/>
      <c r="J1353" s="3"/>
      <c r="K1353" s="3"/>
      <c r="L1353" s="3"/>
      <c r="N1353" s="10"/>
      <c r="O1353" s="3"/>
      <c r="P1353" s="3"/>
      <c r="Q1353" s="3"/>
    </row>
    <row r="1354" spans="5:17" x14ac:dyDescent="0.25">
      <c r="E1354" s="2"/>
      <c r="G1354" s="3"/>
      <c r="H1354" s="3"/>
      <c r="I1354" s="3"/>
      <c r="J1354" s="3"/>
      <c r="K1354" s="3"/>
      <c r="L1354" s="3"/>
      <c r="N1354" s="10"/>
      <c r="O1354" s="3"/>
      <c r="P1354" s="3"/>
      <c r="Q1354" s="3"/>
    </row>
    <row r="1355" spans="5:17" x14ac:dyDescent="0.25">
      <c r="E1355" s="2"/>
      <c r="G1355" s="3"/>
      <c r="H1355" s="3"/>
      <c r="I1355" s="3"/>
      <c r="J1355" s="3"/>
      <c r="K1355" s="3"/>
      <c r="L1355" s="3"/>
      <c r="N1355" s="10"/>
      <c r="O1355" s="3"/>
      <c r="P1355" s="3"/>
      <c r="Q1355" s="3"/>
    </row>
    <row r="1356" spans="5:17" x14ac:dyDescent="0.25">
      <c r="E1356" s="2"/>
      <c r="G1356" s="3"/>
      <c r="H1356" s="3"/>
      <c r="I1356" s="3"/>
      <c r="J1356" s="3"/>
      <c r="K1356" s="3"/>
      <c r="L1356" s="3"/>
      <c r="N1356" s="10"/>
      <c r="O1356" s="3"/>
      <c r="P1356" s="3"/>
      <c r="Q1356" s="3"/>
    </row>
    <row r="1357" spans="5:17" x14ac:dyDescent="0.25">
      <c r="E1357" s="2"/>
      <c r="G1357" s="3"/>
      <c r="H1357" s="3"/>
      <c r="I1357" s="3"/>
      <c r="J1357" s="3"/>
      <c r="K1357" s="3"/>
      <c r="L1357" s="3"/>
      <c r="N1357" s="10"/>
      <c r="O1357" s="3"/>
      <c r="P1357" s="3"/>
      <c r="Q1357" s="3"/>
    </row>
    <row r="1358" spans="5:17" x14ac:dyDescent="0.25">
      <c r="E1358" s="2"/>
      <c r="G1358" s="3"/>
      <c r="H1358" s="3"/>
      <c r="I1358" s="3"/>
      <c r="J1358" s="3"/>
      <c r="K1358" s="3"/>
      <c r="L1358" s="3"/>
      <c r="N1358" s="10"/>
      <c r="O1358" s="3"/>
      <c r="P1358" s="3"/>
      <c r="Q1358" s="3"/>
    </row>
    <row r="1359" spans="5:17" x14ac:dyDescent="0.25">
      <c r="E1359" s="2"/>
      <c r="G1359" s="3"/>
      <c r="H1359" s="3"/>
      <c r="I1359" s="3"/>
      <c r="J1359" s="3"/>
      <c r="K1359" s="3"/>
      <c r="L1359" s="3"/>
      <c r="N1359" s="10"/>
      <c r="O1359" s="3"/>
      <c r="P1359" s="3"/>
      <c r="Q1359" s="3"/>
    </row>
    <row r="1360" spans="5:17" x14ac:dyDescent="0.25">
      <c r="E1360" s="2"/>
      <c r="G1360" s="3"/>
      <c r="H1360" s="3"/>
      <c r="I1360" s="3"/>
      <c r="J1360" s="3"/>
      <c r="K1360" s="3"/>
      <c r="L1360" s="3"/>
      <c r="N1360" s="10"/>
      <c r="O1360" s="3"/>
      <c r="P1360" s="3"/>
      <c r="Q1360" s="3"/>
    </row>
    <row r="1361" spans="5:17" x14ac:dyDescent="0.25">
      <c r="E1361" s="2"/>
      <c r="G1361" s="3"/>
      <c r="H1361" s="3"/>
      <c r="I1361" s="3"/>
      <c r="J1361" s="3"/>
      <c r="K1361" s="3"/>
      <c r="L1361" s="3"/>
      <c r="N1361" s="10"/>
      <c r="O1361" s="3"/>
      <c r="P1361" s="3"/>
      <c r="Q1361" s="3"/>
    </row>
    <row r="1362" spans="5:17" x14ac:dyDescent="0.25">
      <c r="E1362" s="2"/>
      <c r="G1362" s="3"/>
      <c r="H1362" s="3"/>
      <c r="I1362" s="3"/>
      <c r="J1362" s="3"/>
      <c r="K1362" s="3"/>
      <c r="L1362" s="3"/>
      <c r="N1362" s="10"/>
      <c r="O1362" s="3"/>
      <c r="P1362" s="3"/>
      <c r="Q1362" s="3"/>
    </row>
    <row r="1363" spans="5:17" x14ac:dyDescent="0.25">
      <c r="E1363" s="2"/>
      <c r="G1363" s="3"/>
      <c r="H1363" s="3"/>
      <c r="I1363" s="3"/>
      <c r="J1363" s="3"/>
      <c r="K1363" s="3"/>
      <c r="L1363" s="3"/>
      <c r="N1363" s="10"/>
      <c r="O1363" s="3"/>
      <c r="P1363" s="3"/>
      <c r="Q1363" s="3"/>
    </row>
    <row r="1364" spans="5:17" x14ac:dyDescent="0.25">
      <c r="E1364" s="2"/>
      <c r="G1364" s="3"/>
      <c r="H1364" s="3"/>
      <c r="I1364" s="3"/>
      <c r="J1364" s="3"/>
      <c r="K1364" s="3"/>
      <c r="L1364" s="3"/>
      <c r="N1364" s="10"/>
      <c r="O1364" s="3"/>
      <c r="P1364" s="3"/>
      <c r="Q1364" s="3"/>
    </row>
    <row r="1365" spans="5:17" x14ac:dyDescent="0.25">
      <c r="E1365" s="2"/>
      <c r="G1365" s="3"/>
      <c r="H1365" s="3"/>
      <c r="I1365" s="3"/>
      <c r="J1365" s="3"/>
      <c r="K1365" s="3"/>
      <c r="L1365" s="3"/>
      <c r="N1365" s="10"/>
      <c r="O1365" s="3"/>
      <c r="P1365" s="3"/>
      <c r="Q1365" s="3"/>
    </row>
    <row r="1366" spans="5:17" x14ac:dyDescent="0.25">
      <c r="E1366" s="2"/>
      <c r="G1366" s="3"/>
      <c r="H1366" s="3"/>
      <c r="I1366" s="3"/>
      <c r="J1366" s="3"/>
      <c r="K1366" s="3"/>
      <c r="L1366" s="3"/>
      <c r="N1366" s="10"/>
      <c r="O1366" s="3"/>
      <c r="P1366" s="3"/>
      <c r="Q1366" s="3"/>
    </row>
    <row r="1367" spans="5:17" x14ac:dyDescent="0.25">
      <c r="E1367" s="2"/>
      <c r="G1367" s="3"/>
      <c r="H1367" s="3"/>
      <c r="I1367" s="3"/>
      <c r="J1367" s="3"/>
      <c r="K1367" s="3"/>
      <c r="L1367" s="3"/>
      <c r="N1367" s="10"/>
      <c r="O1367" s="3"/>
      <c r="P1367" s="3"/>
      <c r="Q1367" s="3"/>
    </row>
    <row r="1368" spans="5:17" x14ac:dyDescent="0.25">
      <c r="E1368" s="2"/>
      <c r="G1368" s="3"/>
      <c r="H1368" s="3"/>
      <c r="I1368" s="3"/>
      <c r="J1368" s="3"/>
      <c r="K1368" s="3"/>
      <c r="L1368" s="3"/>
      <c r="N1368" s="10"/>
      <c r="O1368" s="3"/>
      <c r="P1368" s="3"/>
      <c r="Q1368" s="3"/>
    </row>
    <row r="1369" spans="5:17" x14ac:dyDescent="0.25">
      <c r="E1369" s="2"/>
      <c r="G1369" s="3"/>
      <c r="H1369" s="3"/>
      <c r="I1369" s="3"/>
      <c r="J1369" s="3"/>
      <c r="K1369" s="3"/>
      <c r="L1369" s="3"/>
      <c r="N1369" s="10"/>
      <c r="O1369" s="3"/>
      <c r="P1369" s="3"/>
      <c r="Q1369" s="3"/>
    </row>
    <row r="1370" spans="5:17" x14ac:dyDescent="0.25">
      <c r="E1370" s="2"/>
      <c r="G1370" s="3"/>
      <c r="H1370" s="3"/>
      <c r="I1370" s="3"/>
      <c r="J1370" s="3"/>
      <c r="K1370" s="3"/>
      <c r="L1370" s="3"/>
      <c r="N1370" s="10"/>
      <c r="O1370" s="3"/>
      <c r="P1370" s="3"/>
      <c r="Q1370" s="3"/>
    </row>
    <row r="1371" spans="5:17" x14ac:dyDescent="0.25">
      <c r="E1371" s="2"/>
      <c r="G1371" s="3"/>
      <c r="H1371" s="3"/>
      <c r="I1371" s="3"/>
      <c r="J1371" s="3"/>
      <c r="K1371" s="3"/>
      <c r="L1371" s="3"/>
      <c r="N1371" s="10"/>
      <c r="O1371" s="3"/>
      <c r="P1371" s="3"/>
      <c r="Q1371" s="3"/>
    </row>
    <row r="1372" spans="5:17" x14ac:dyDescent="0.25">
      <c r="E1372" s="2"/>
      <c r="G1372" s="3"/>
      <c r="H1372" s="3"/>
      <c r="I1372" s="3"/>
      <c r="J1372" s="3"/>
      <c r="K1372" s="3"/>
      <c r="L1372" s="3"/>
      <c r="N1372" s="10"/>
      <c r="O1372" s="3"/>
      <c r="P1372" s="3"/>
      <c r="Q1372" s="3"/>
    </row>
    <row r="1373" spans="5:17" x14ac:dyDescent="0.25">
      <c r="E1373" s="2"/>
      <c r="G1373" s="3"/>
      <c r="H1373" s="3"/>
      <c r="I1373" s="3"/>
      <c r="J1373" s="3"/>
      <c r="K1373" s="3"/>
      <c r="L1373" s="3"/>
      <c r="N1373" s="10"/>
      <c r="O1373" s="3"/>
      <c r="P1373" s="3"/>
      <c r="Q1373" s="3"/>
    </row>
    <row r="1374" spans="5:17" x14ac:dyDescent="0.25">
      <c r="E1374" s="2"/>
      <c r="G1374" s="3"/>
      <c r="H1374" s="3"/>
      <c r="I1374" s="3"/>
      <c r="J1374" s="3"/>
      <c r="K1374" s="3"/>
      <c r="L1374" s="3"/>
      <c r="N1374" s="10"/>
      <c r="O1374" s="3"/>
      <c r="P1374" s="3"/>
      <c r="Q1374" s="3"/>
    </row>
    <row r="1375" spans="5:17" x14ac:dyDescent="0.25">
      <c r="E1375" s="2"/>
      <c r="G1375" s="3"/>
      <c r="H1375" s="3"/>
      <c r="I1375" s="3"/>
      <c r="J1375" s="3"/>
      <c r="K1375" s="3"/>
      <c r="L1375" s="3"/>
      <c r="N1375" s="10"/>
      <c r="O1375" s="3"/>
      <c r="P1375" s="3"/>
      <c r="Q1375" s="3"/>
    </row>
    <row r="1376" spans="5:17" x14ac:dyDescent="0.25">
      <c r="E1376" s="2"/>
      <c r="G1376" s="3"/>
      <c r="H1376" s="3"/>
      <c r="I1376" s="3"/>
      <c r="J1376" s="3"/>
      <c r="K1376" s="3"/>
      <c r="L1376" s="3"/>
      <c r="N1376" s="10"/>
      <c r="O1376" s="3"/>
      <c r="P1376" s="3"/>
      <c r="Q1376" s="3"/>
    </row>
    <row r="1377" spans="5:17" x14ac:dyDescent="0.25">
      <c r="E1377" s="2"/>
      <c r="G1377" s="3"/>
      <c r="H1377" s="3"/>
      <c r="I1377" s="3"/>
      <c r="J1377" s="3"/>
      <c r="K1377" s="3"/>
      <c r="L1377" s="3"/>
      <c r="N1377" s="10"/>
      <c r="O1377" s="3"/>
      <c r="P1377" s="3"/>
      <c r="Q1377" s="3"/>
    </row>
    <row r="1378" spans="5:17" x14ac:dyDescent="0.25">
      <c r="E1378" s="2"/>
      <c r="G1378" s="3"/>
      <c r="H1378" s="3"/>
      <c r="I1378" s="3"/>
      <c r="J1378" s="3"/>
      <c r="K1378" s="3"/>
      <c r="L1378" s="3"/>
      <c r="N1378" s="10"/>
      <c r="O1378" s="3"/>
      <c r="P1378" s="3"/>
      <c r="Q1378" s="3"/>
    </row>
    <row r="1379" spans="5:17" x14ac:dyDescent="0.25">
      <c r="E1379" s="2"/>
      <c r="G1379" s="3"/>
      <c r="H1379" s="3"/>
      <c r="I1379" s="3"/>
      <c r="J1379" s="3"/>
      <c r="K1379" s="3"/>
      <c r="L1379" s="3"/>
      <c r="N1379" s="10"/>
      <c r="O1379" s="3"/>
      <c r="P1379" s="3"/>
      <c r="Q1379" s="3"/>
    </row>
    <row r="1380" spans="5:17" x14ac:dyDescent="0.25">
      <c r="E1380" s="2"/>
      <c r="G1380" s="3"/>
      <c r="H1380" s="3"/>
      <c r="I1380" s="3"/>
      <c r="J1380" s="3"/>
      <c r="K1380" s="3"/>
      <c r="L1380" s="3"/>
      <c r="N1380" s="10"/>
      <c r="O1380" s="3"/>
      <c r="P1380" s="3"/>
      <c r="Q1380" s="3"/>
    </row>
    <row r="1381" spans="5:17" x14ac:dyDescent="0.25">
      <c r="E1381" s="2"/>
      <c r="G1381" s="3"/>
      <c r="H1381" s="3"/>
      <c r="I1381" s="3"/>
      <c r="J1381" s="3"/>
      <c r="K1381" s="3"/>
      <c r="L1381" s="3"/>
      <c r="N1381" s="10"/>
      <c r="O1381" s="3"/>
      <c r="P1381" s="3"/>
      <c r="Q1381" s="3"/>
    </row>
    <row r="1382" spans="5:17" x14ac:dyDescent="0.25">
      <c r="E1382" s="2"/>
      <c r="G1382" s="3"/>
      <c r="H1382" s="3"/>
      <c r="I1382" s="3"/>
      <c r="J1382" s="3"/>
      <c r="K1382" s="3"/>
      <c r="L1382" s="3"/>
      <c r="N1382" s="10"/>
      <c r="O1382" s="3"/>
      <c r="P1382" s="3"/>
      <c r="Q1382" s="3"/>
    </row>
    <row r="1383" spans="5:17" x14ac:dyDescent="0.25">
      <c r="E1383" s="2"/>
      <c r="G1383" s="3"/>
      <c r="H1383" s="3"/>
      <c r="I1383" s="3"/>
      <c r="J1383" s="3"/>
      <c r="K1383" s="3"/>
      <c r="L1383" s="3"/>
      <c r="N1383" s="10"/>
      <c r="O1383" s="3"/>
      <c r="P1383" s="3"/>
      <c r="Q1383" s="3"/>
    </row>
    <row r="1384" spans="5:17" x14ac:dyDescent="0.25">
      <c r="E1384" s="2"/>
      <c r="G1384" s="3"/>
      <c r="H1384" s="3"/>
      <c r="I1384" s="3"/>
      <c r="J1384" s="3"/>
      <c r="K1384" s="3"/>
      <c r="L1384" s="3"/>
      <c r="N1384" s="10"/>
      <c r="O1384" s="3"/>
      <c r="P1384" s="3"/>
      <c r="Q1384" s="3"/>
    </row>
    <row r="1385" spans="5:17" x14ac:dyDescent="0.25">
      <c r="E1385" s="2"/>
      <c r="G1385" s="3"/>
      <c r="H1385" s="3"/>
      <c r="I1385" s="3"/>
      <c r="J1385" s="3"/>
      <c r="K1385" s="3"/>
      <c r="L1385" s="3"/>
      <c r="N1385" s="10"/>
      <c r="O1385" s="3"/>
      <c r="P1385" s="3"/>
      <c r="Q1385" s="3"/>
    </row>
    <row r="1386" spans="5:17" x14ac:dyDescent="0.25">
      <c r="E1386" s="2"/>
      <c r="G1386" s="3"/>
      <c r="H1386" s="3"/>
      <c r="I1386" s="3"/>
      <c r="J1386" s="3"/>
      <c r="K1386" s="3"/>
      <c r="L1386" s="3"/>
      <c r="N1386" s="10"/>
      <c r="O1386" s="3"/>
      <c r="P1386" s="3"/>
      <c r="Q1386" s="3"/>
    </row>
    <row r="1387" spans="5:17" x14ac:dyDescent="0.25">
      <c r="E1387" s="2"/>
      <c r="G1387" s="3"/>
      <c r="H1387" s="3"/>
      <c r="I1387" s="3"/>
      <c r="J1387" s="3"/>
      <c r="K1387" s="3"/>
      <c r="L1387" s="3"/>
      <c r="N1387" s="10"/>
      <c r="O1387" s="3"/>
      <c r="P1387" s="3"/>
      <c r="Q1387" s="3"/>
    </row>
    <row r="1388" spans="5:17" x14ac:dyDescent="0.25">
      <c r="E1388" s="2"/>
      <c r="G1388" s="3"/>
      <c r="H1388" s="3"/>
      <c r="I1388" s="3"/>
      <c r="J1388" s="3"/>
      <c r="K1388" s="3"/>
      <c r="L1388" s="3"/>
      <c r="N1388" s="10"/>
      <c r="O1388" s="3"/>
      <c r="P1388" s="3"/>
      <c r="Q1388" s="3"/>
    </row>
    <row r="1389" spans="5:17" x14ac:dyDescent="0.25">
      <c r="E1389" s="2"/>
      <c r="G1389" s="3"/>
      <c r="H1389" s="3"/>
      <c r="I1389" s="3"/>
      <c r="J1389" s="3"/>
      <c r="K1389" s="3"/>
      <c r="L1389" s="3"/>
      <c r="N1389" s="10"/>
      <c r="O1389" s="3"/>
      <c r="P1389" s="3"/>
      <c r="Q1389" s="3"/>
    </row>
    <row r="1390" spans="5:17" x14ac:dyDescent="0.25">
      <c r="E1390" s="2"/>
      <c r="G1390" s="3"/>
      <c r="H1390" s="3"/>
      <c r="I1390" s="3"/>
      <c r="J1390" s="3"/>
      <c r="K1390" s="3"/>
      <c r="L1390" s="3"/>
      <c r="N1390" s="10"/>
      <c r="O1390" s="3"/>
      <c r="P1390" s="3"/>
      <c r="Q1390" s="3"/>
    </row>
    <row r="1391" spans="5:17" x14ac:dyDescent="0.25">
      <c r="E1391" s="2"/>
      <c r="G1391" s="3"/>
      <c r="H1391" s="3"/>
      <c r="I1391" s="3"/>
      <c r="J1391" s="3"/>
      <c r="K1391" s="3"/>
      <c r="L1391" s="3"/>
      <c r="N1391" s="10"/>
      <c r="O1391" s="3"/>
      <c r="P1391" s="3"/>
      <c r="Q1391" s="3"/>
    </row>
    <row r="1392" spans="5:17" x14ac:dyDescent="0.25">
      <c r="E1392" s="2"/>
      <c r="G1392" s="3"/>
      <c r="H1392" s="3"/>
      <c r="I1392" s="3"/>
      <c r="J1392" s="3"/>
      <c r="K1392" s="3"/>
      <c r="L1392" s="3"/>
      <c r="N1392" s="10"/>
      <c r="O1392" s="3"/>
      <c r="P1392" s="3"/>
      <c r="Q1392" s="3"/>
    </row>
    <row r="1393" spans="5:17" x14ac:dyDescent="0.25">
      <c r="E1393" s="2"/>
      <c r="G1393" s="3"/>
      <c r="H1393" s="3"/>
      <c r="I1393" s="3"/>
      <c r="J1393" s="3"/>
      <c r="K1393" s="3"/>
      <c r="L1393" s="3"/>
      <c r="N1393" s="10"/>
      <c r="O1393" s="3"/>
      <c r="P1393" s="3"/>
      <c r="Q1393" s="3"/>
    </row>
    <row r="1394" spans="5:17" x14ac:dyDescent="0.25">
      <c r="E1394" s="2"/>
      <c r="G1394" s="3"/>
      <c r="H1394" s="3"/>
      <c r="I1394" s="3"/>
      <c r="J1394" s="3"/>
      <c r="K1394" s="3"/>
      <c r="L1394" s="3"/>
      <c r="N1394" s="10"/>
      <c r="O1394" s="3"/>
      <c r="P1394" s="3"/>
      <c r="Q1394" s="3"/>
    </row>
    <row r="1395" spans="5:17" x14ac:dyDescent="0.25">
      <c r="E1395" s="2"/>
      <c r="G1395" s="3"/>
      <c r="H1395" s="3"/>
      <c r="I1395" s="3"/>
      <c r="J1395" s="3"/>
      <c r="K1395" s="3"/>
      <c r="L1395" s="3"/>
      <c r="N1395" s="10"/>
      <c r="O1395" s="3"/>
      <c r="P1395" s="3"/>
      <c r="Q1395" s="3"/>
    </row>
    <row r="1396" spans="5:17" x14ac:dyDescent="0.25">
      <c r="E1396" s="2"/>
      <c r="G1396" s="3"/>
      <c r="H1396" s="3"/>
      <c r="I1396" s="3"/>
      <c r="J1396" s="3"/>
      <c r="K1396" s="3"/>
      <c r="L1396" s="3"/>
      <c r="N1396" s="10"/>
      <c r="O1396" s="3"/>
      <c r="P1396" s="3"/>
      <c r="Q1396" s="3"/>
    </row>
    <row r="1397" spans="5:17" x14ac:dyDescent="0.25">
      <c r="E1397" s="2"/>
      <c r="G1397" s="3"/>
      <c r="H1397" s="3"/>
      <c r="I1397" s="3"/>
      <c r="J1397" s="3"/>
      <c r="K1397" s="3"/>
      <c r="L1397" s="3"/>
      <c r="N1397" s="10"/>
      <c r="O1397" s="3"/>
      <c r="P1397" s="3"/>
      <c r="Q1397" s="3"/>
    </row>
    <row r="1398" spans="5:17" x14ac:dyDescent="0.25">
      <c r="E1398" s="2"/>
      <c r="G1398" s="3"/>
      <c r="H1398" s="3"/>
      <c r="I1398" s="3"/>
      <c r="J1398" s="3"/>
      <c r="K1398" s="3"/>
      <c r="L1398" s="3"/>
      <c r="N1398" s="10"/>
      <c r="O1398" s="3"/>
      <c r="P1398" s="3"/>
      <c r="Q1398" s="3"/>
    </row>
    <row r="1399" spans="5:17" x14ac:dyDescent="0.25">
      <c r="E1399" s="2"/>
      <c r="G1399" s="3"/>
      <c r="H1399" s="3"/>
      <c r="I1399" s="3"/>
      <c r="J1399" s="3"/>
      <c r="K1399" s="3"/>
      <c r="L1399" s="3"/>
      <c r="N1399" s="10"/>
      <c r="O1399" s="3"/>
      <c r="P1399" s="3"/>
      <c r="Q1399" s="3"/>
    </row>
    <row r="1400" spans="5:17" x14ac:dyDescent="0.25">
      <c r="E1400" s="2"/>
      <c r="G1400" s="3"/>
      <c r="H1400" s="3"/>
      <c r="I1400" s="3"/>
      <c r="J1400" s="3"/>
      <c r="K1400" s="3"/>
      <c r="L1400" s="3"/>
      <c r="N1400" s="10"/>
      <c r="O1400" s="3"/>
      <c r="P1400" s="3"/>
      <c r="Q1400" s="3"/>
    </row>
    <row r="1401" spans="5:17" x14ac:dyDescent="0.25">
      <c r="E1401" s="2"/>
      <c r="G1401" s="3"/>
      <c r="H1401" s="3"/>
      <c r="I1401" s="3"/>
      <c r="J1401" s="3"/>
      <c r="K1401" s="3"/>
      <c r="L1401" s="3"/>
      <c r="N1401" s="10"/>
      <c r="O1401" s="3"/>
      <c r="P1401" s="3"/>
      <c r="Q1401" s="3"/>
    </row>
    <row r="1402" spans="5:17" x14ac:dyDescent="0.25">
      <c r="E1402" s="2"/>
      <c r="G1402" s="3"/>
      <c r="H1402" s="3"/>
      <c r="I1402" s="3"/>
      <c r="J1402" s="3"/>
      <c r="K1402" s="3"/>
      <c r="L1402" s="3"/>
      <c r="N1402" s="10"/>
      <c r="O1402" s="3"/>
      <c r="P1402" s="3"/>
      <c r="Q1402" s="3"/>
    </row>
    <row r="1403" spans="5:17" x14ac:dyDescent="0.25">
      <c r="E1403" s="2"/>
      <c r="G1403" s="3"/>
      <c r="H1403" s="3"/>
      <c r="I1403" s="3"/>
      <c r="J1403" s="3"/>
      <c r="K1403" s="3"/>
      <c r="L1403" s="3"/>
      <c r="N1403" s="10"/>
      <c r="O1403" s="3"/>
      <c r="P1403" s="3"/>
      <c r="Q1403" s="3"/>
    </row>
    <row r="1404" spans="5:17" x14ac:dyDescent="0.25">
      <c r="E1404" s="2"/>
      <c r="G1404" s="3"/>
      <c r="H1404" s="3"/>
      <c r="I1404" s="3"/>
      <c r="J1404" s="3"/>
      <c r="K1404" s="3"/>
      <c r="L1404" s="3"/>
      <c r="N1404" s="10"/>
      <c r="O1404" s="3"/>
      <c r="P1404" s="3"/>
      <c r="Q1404" s="3"/>
    </row>
    <row r="1405" spans="5:17" x14ac:dyDescent="0.25">
      <c r="E1405" s="2"/>
      <c r="G1405" s="3"/>
      <c r="H1405" s="3"/>
      <c r="I1405" s="3"/>
      <c r="J1405" s="3"/>
      <c r="K1405" s="3"/>
      <c r="L1405" s="3"/>
      <c r="N1405" s="10"/>
      <c r="O1405" s="3"/>
      <c r="P1405" s="3"/>
      <c r="Q1405" s="3"/>
    </row>
    <row r="1406" spans="5:17" x14ac:dyDescent="0.25">
      <c r="E1406" s="2"/>
      <c r="G1406" s="3"/>
      <c r="H1406" s="3"/>
      <c r="I1406" s="3"/>
      <c r="J1406" s="3"/>
      <c r="K1406" s="3"/>
      <c r="L1406" s="3"/>
      <c r="N1406" s="10"/>
      <c r="O1406" s="3"/>
      <c r="P1406" s="3"/>
      <c r="Q1406" s="3"/>
    </row>
    <row r="1407" spans="5:17" x14ac:dyDescent="0.25">
      <c r="E1407" s="2"/>
      <c r="G1407" s="3"/>
      <c r="H1407" s="3"/>
      <c r="I1407" s="3"/>
      <c r="J1407" s="3"/>
      <c r="K1407" s="3"/>
      <c r="L1407" s="3"/>
      <c r="N1407" s="10"/>
      <c r="O1407" s="3"/>
      <c r="P1407" s="3"/>
      <c r="Q1407" s="3"/>
    </row>
    <row r="1408" spans="5:17" x14ac:dyDescent="0.25">
      <c r="E1408" s="2"/>
      <c r="G1408" s="3"/>
      <c r="H1408" s="3"/>
      <c r="I1408" s="3"/>
      <c r="J1408" s="3"/>
      <c r="K1408" s="3"/>
      <c r="L1408" s="3"/>
      <c r="N1408" s="10"/>
      <c r="O1408" s="3"/>
      <c r="P1408" s="3"/>
      <c r="Q1408" s="3"/>
    </row>
    <row r="1409" spans="5:17" x14ac:dyDescent="0.25">
      <c r="E1409" s="2"/>
      <c r="G1409" s="3"/>
      <c r="H1409" s="3"/>
      <c r="I1409" s="3"/>
      <c r="J1409" s="3"/>
      <c r="K1409" s="3"/>
      <c r="L1409" s="3"/>
      <c r="N1409" s="10"/>
      <c r="O1409" s="3"/>
      <c r="P1409" s="3"/>
      <c r="Q1409" s="3"/>
    </row>
    <row r="1410" spans="5:17" x14ac:dyDescent="0.25">
      <c r="E1410" s="2"/>
      <c r="G1410" s="3"/>
      <c r="H1410" s="3"/>
      <c r="I1410" s="3"/>
      <c r="J1410" s="3"/>
      <c r="K1410" s="3"/>
      <c r="L1410" s="3"/>
      <c r="N1410" s="10"/>
      <c r="O1410" s="3"/>
      <c r="P1410" s="3"/>
      <c r="Q1410" s="3"/>
    </row>
    <row r="1411" spans="5:17" x14ac:dyDescent="0.25">
      <c r="E1411" s="2"/>
      <c r="G1411" s="3"/>
      <c r="H1411" s="3"/>
      <c r="I1411" s="3"/>
      <c r="J1411" s="3"/>
      <c r="K1411" s="3"/>
      <c r="L1411" s="3"/>
      <c r="N1411" s="10"/>
      <c r="O1411" s="3"/>
      <c r="P1411" s="3"/>
      <c r="Q1411" s="3"/>
    </row>
    <row r="1412" spans="5:17" x14ac:dyDescent="0.25">
      <c r="E1412" s="2"/>
      <c r="G1412" s="3"/>
      <c r="H1412" s="3"/>
      <c r="I1412" s="3"/>
      <c r="J1412" s="3"/>
      <c r="K1412" s="3"/>
      <c r="L1412" s="3"/>
      <c r="N1412" s="10"/>
      <c r="O1412" s="3"/>
      <c r="P1412" s="3"/>
      <c r="Q1412" s="3"/>
    </row>
    <row r="1413" spans="5:17" x14ac:dyDescent="0.25">
      <c r="E1413" s="2"/>
      <c r="G1413" s="3"/>
      <c r="H1413" s="3"/>
      <c r="I1413" s="3"/>
      <c r="J1413" s="3"/>
      <c r="K1413" s="3"/>
      <c r="L1413" s="3"/>
      <c r="N1413" s="10"/>
      <c r="O1413" s="3"/>
      <c r="P1413" s="3"/>
      <c r="Q1413" s="3"/>
    </row>
    <row r="1414" spans="5:17" x14ac:dyDescent="0.25">
      <c r="E1414" s="2"/>
      <c r="G1414" s="3"/>
      <c r="H1414" s="3"/>
      <c r="I1414" s="3"/>
      <c r="J1414" s="3"/>
      <c r="K1414" s="3"/>
      <c r="L1414" s="3"/>
      <c r="N1414" s="10"/>
      <c r="O1414" s="3"/>
      <c r="P1414" s="3"/>
      <c r="Q1414" s="3"/>
    </row>
    <row r="1415" spans="5:17" x14ac:dyDescent="0.25">
      <c r="E1415" s="2"/>
      <c r="G1415" s="3"/>
      <c r="H1415" s="3"/>
      <c r="I1415" s="3"/>
      <c r="J1415" s="3"/>
      <c r="K1415" s="3"/>
      <c r="L1415" s="3"/>
      <c r="N1415" s="10"/>
      <c r="O1415" s="3"/>
      <c r="P1415" s="3"/>
      <c r="Q1415" s="3"/>
    </row>
    <row r="1416" spans="5:17" x14ac:dyDescent="0.25">
      <c r="E1416" s="2"/>
      <c r="G1416" s="3"/>
      <c r="H1416" s="3"/>
      <c r="I1416" s="3"/>
      <c r="J1416" s="3"/>
      <c r="K1416" s="3"/>
      <c r="L1416" s="3"/>
      <c r="N1416" s="10"/>
      <c r="O1416" s="3"/>
      <c r="P1416" s="3"/>
      <c r="Q1416" s="3"/>
    </row>
    <row r="1417" spans="5:17" x14ac:dyDescent="0.25">
      <c r="E1417" s="2"/>
      <c r="G1417" s="3"/>
      <c r="H1417" s="3"/>
      <c r="I1417" s="3"/>
      <c r="J1417" s="3"/>
      <c r="K1417" s="3"/>
      <c r="L1417" s="3"/>
      <c r="N1417" s="10"/>
      <c r="O1417" s="3"/>
      <c r="P1417" s="3"/>
      <c r="Q1417" s="3"/>
    </row>
    <row r="1418" spans="5:17" x14ac:dyDescent="0.25">
      <c r="E1418" s="2"/>
      <c r="G1418" s="3"/>
      <c r="H1418" s="3"/>
      <c r="I1418" s="3"/>
      <c r="J1418" s="3"/>
      <c r="K1418" s="3"/>
      <c r="L1418" s="3"/>
      <c r="N1418" s="10"/>
      <c r="O1418" s="3"/>
      <c r="P1418" s="3"/>
      <c r="Q1418" s="3"/>
    </row>
    <row r="1419" spans="5:17" x14ac:dyDescent="0.25">
      <c r="E1419" s="2"/>
      <c r="G1419" s="3"/>
      <c r="H1419" s="3"/>
      <c r="I1419" s="3"/>
      <c r="J1419" s="3"/>
      <c r="K1419" s="3"/>
      <c r="L1419" s="3"/>
      <c r="N1419" s="10"/>
      <c r="O1419" s="3"/>
      <c r="P1419" s="3"/>
      <c r="Q1419" s="3"/>
    </row>
    <row r="1420" spans="5:17" x14ac:dyDescent="0.25">
      <c r="E1420" s="2"/>
      <c r="G1420" s="3"/>
      <c r="H1420" s="3"/>
      <c r="I1420" s="3"/>
      <c r="J1420" s="3"/>
      <c r="K1420" s="3"/>
      <c r="L1420" s="3"/>
      <c r="N1420" s="10"/>
      <c r="O1420" s="3"/>
      <c r="P1420" s="3"/>
      <c r="Q1420" s="3"/>
    </row>
    <row r="1421" spans="5:17" x14ac:dyDescent="0.25">
      <c r="E1421" s="2"/>
      <c r="G1421" s="3"/>
      <c r="H1421" s="3"/>
      <c r="I1421" s="3"/>
      <c r="J1421" s="3"/>
      <c r="K1421" s="3"/>
      <c r="L1421" s="3"/>
      <c r="N1421" s="10"/>
      <c r="O1421" s="3"/>
      <c r="P1421" s="3"/>
      <c r="Q1421" s="3"/>
    </row>
    <row r="1422" spans="5:17" x14ac:dyDescent="0.25">
      <c r="E1422" s="2"/>
      <c r="G1422" s="3"/>
      <c r="H1422" s="3"/>
      <c r="I1422" s="3"/>
      <c r="J1422" s="3"/>
      <c r="K1422" s="3"/>
      <c r="L1422" s="3"/>
      <c r="N1422" s="10"/>
      <c r="O1422" s="3"/>
      <c r="P1422" s="3"/>
      <c r="Q1422" s="3"/>
    </row>
    <row r="1423" spans="5:17" x14ac:dyDescent="0.25">
      <c r="E1423" s="2"/>
      <c r="G1423" s="3"/>
      <c r="H1423" s="3"/>
      <c r="I1423" s="3"/>
      <c r="J1423" s="3"/>
      <c r="K1423" s="3"/>
      <c r="L1423" s="3"/>
      <c r="N1423" s="10"/>
      <c r="O1423" s="3"/>
      <c r="P1423" s="3"/>
      <c r="Q1423" s="3"/>
    </row>
    <row r="1424" spans="5:17" x14ac:dyDescent="0.25">
      <c r="E1424" s="2"/>
      <c r="G1424" s="3"/>
      <c r="H1424" s="3"/>
      <c r="I1424" s="3"/>
      <c r="J1424" s="3"/>
      <c r="K1424" s="3"/>
      <c r="L1424" s="3"/>
      <c r="N1424" s="10"/>
      <c r="O1424" s="3"/>
      <c r="P1424" s="3"/>
      <c r="Q1424" s="3"/>
    </row>
    <row r="1425" spans="5:17" x14ac:dyDescent="0.25">
      <c r="E1425" s="2"/>
      <c r="G1425" s="3"/>
      <c r="H1425" s="3"/>
      <c r="I1425" s="3"/>
      <c r="J1425" s="3"/>
      <c r="K1425" s="3"/>
      <c r="L1425" s="3"/>
      <c r="N1425" s="10"/>
      <c r="O1425" s="3"/>
      <c r="P1425" s="3"/>
      <c r="Q1425" s="3"/>
    </row>
    <row r="1426" spans="5:17" x14ac:dyDescent="0.25">
      <c r="E1426" s="2"/>
      <c r="G1426" s="3"/>
      <c r="H1426" s="3"/>
      <c r="I1426" s="3"/>
      <c r="J1426" s="3"/>
      <c r="K1426" s="3"/>
      <c r="L1426" s="3"/>
      <c r="N1426" s="10"/>
      <c r="O1426" s="3"/>
      <c r="P1426" s="3"/>
      <c r="Q1426" s="3"/>
    </row>
    <row r="1427" spans="5:17" x14ac:dyDescent="0.25">
      <c r="E1427" s="2"/>
      <c r="G1427" s="3"/>
      <c r="H1427" s="3"/>
      <c r="I1427" s="3"/>
      <c r="J1427" s="3"/>
      <c r="K1427" s="3"/>
      <c r="L1427" s="3"/>
      <c r="N1427" s="10"/>
      <c r="O1427" s="3"/>
      <c r="P1427" s="3"/>
      <c r="Q1427" s="3"/>
    </row>
    <row r="1428" spans="5:17" x14ac:dyDescent="0.25">
      <c r="E1428" s="2"/>
      <c r="G1428" s="3"/>
      <c r="H1428" s="3"/>
      <c r="I1428" s="3"/>
      <c r="J1428" s="3"/>
      <c r="K1428" s="3"/>
      <c r="L1428" s="3"/>
      <c r="N1428" s="10"/>
      <c r="O1428" s="3"/>
      <c r="P1428" s="3"/>
      <c r="Q1428" s="3"/>
    </row>
    <row r="1429" spans="5:17" x14ac:dyDescent="0.25">
      <c r="E1429" s="2"/>
      <c r="G1429" s="3"/>
      <c r="H1429" s="3"/>
      <c r="I1429" s="3"/>
      <c r="J1429" s="3"/>
      <c r="K1429" s="3"/>
      <c r="L1429" s="3"/>
      <c r="N1429" s="10"/>
      <c r="O1429" s="3"/>
      <c r="P1429" s="3"/>
      <c r="Q1429" s="3"/>
    </row>
    <row r="1430" spans="5:17" x14ac:dyDescent="0.25">
      <c r="E1430" s="2"/>
      <c r="G1430" s="3"/>
      <c r="H1430" s="3"/>
      <c r="I1430" s="3"/>
      <c r="J1430" s="3"/>
      <c r="K1430" s="3"/>
      <c r="L1430" s="3"/>
      <c r="N1430" s="10"/>
      <c r="O1430" s="3"/>
      <c r="P1430" s="3"/>
      <c r="Q1430" s="3"/>
    </row>
    <row r="1431" spans="5:17" x14ac:dyDescent="0.25">
      <c r="E1431" s="2"/>
      <c r="G1431" s="3"/>
      <c r="H1431" s="3"/>
      <c r="I1431" s="3"/>
      <c r="J1431" s="3"/>
      <c r="K1431" s="3"/>
      <c r="L1431" s="3"/>
      <c r="N1431" s="10"/>
      <c r="O1431" s="3"/>
      <c r="P1431" s="3"/>
      <c r="Q1431" s="3"/>
    </row>
    <row r="1432" spans="5:17" x14ac:dyDescent="0.25">
      <c r="E1432" s="2"/>
      <c r="G1432" s="3"/>
      <c r="H1432" s="3"/>
      <c r="I1432" s="3"/>
      <c r="J1432" s="3"/>
      <c r="K1432" s="3"/>
      <c r="L1432" s="3"/>
      <c r="N1432" s="10"/>
      <c r="O1432" s="3"/>
      <c r="P1432" s="3"/>
      <c r="Q1432" s="3"/>
    </row>
    <row r="1433" spans="5:17" x14ac:dyDescent="0.25">
      <c r="E1433" s="2"/>
      <c r="G1433" s="3"/>
      <c r="H1433" s="3"/>
      <c r="I1433" s="3"/>
      <c r="J1433" s="3"/>
      <c r="K1433" s="3"/>
      <c r="L1433" s="3"/>
      <c r="N1433" s="10"/>
      <c r="O1433" s="3"/>
      <c r="P1433" s="3"/>
      <c r="Q1433" s="3"/>
    </row>
    <row r="1434" spans="5:17" x14ac:dyDescent="0.25">
      <c r="E1434" s="2"/>
      <c r="G1434" s="3"/>
      <c r="H1434" s="3"/>
      <c r="I1434" s="3"/>
      <c r="J1434" s="3"/>
      <c r="K1434" s="3"/>
      <c r="L1434" s="3"/>
      <c r="N1434" s="10"/>
      <c r="O1434" s="3"/>
      <c r="P1434" s="3"/>
      <c r="Q1434" s="3"/>
    </row>
    <row r="1435" spans="5:17" x14ac:dyDescent="0.25">
      <c r="E1435" s="2"/>
      <c r="G1435" s="3"/>
      <c r="H1435" s="3"/>
      <c r="I1435" s="3"/>
      <c r="J1435" s="3"/>
      <c r="K1435" s="3"/>
      <c r="L1435" s="3"/>
      <c r="N1435" s="10"/>
      <c r="O1435" s="3"/>
      <c r="P1435" s="3"/>
      <c r="Q1435" s="3"/>
    </row>
    <row r="1436" spans="5:17" x14ac:dyDescent="0.25">
      <c r="E1436" s="2"/>
      <c r="G1436" s="3"/>
      <c r="H1436" s="3"/>
      <c r="I1436" s="3"/>
      <c r="J1436" s="3"/>
      <c r="K1436" s="3"/>
      <c r="L1436" s="3"/>
      <c r="N1436" s="10"/>
      <c r="O1436" s="3"/>
      <c r="P1436" s="3"/>
      <c r="Q1436" s="3"/>
    </row>
    <row r="1437" spans="5:17" x14ac:dyDescent="0.25">
      <c r="E1437" s="2"/>
      <c r="G1437" s="3"/>
      <c r="H1437" s="3"/>
      <c r="I1437" s="3"/>
      <c r="J1437" s="3"/>
      <c r="K1437" s="3"/>
      <c r="L1437" s="3"/>
      <c r="N1437" s="10"/>
      <c r="O1437" s="3"/>
      <c r="P1437" s="3"/>
      <c r="Q1437" s="3"/>
    </row>
    <row r="1438" spans="5:17" x14ac:dyDescent="0.25">
      <c r="E1438" s="2"/>
      <c r="G1438" s="3"/>
      <c r="H1438" s="3"/>
      <c r="I1438" s="3"/>
      <c r="J1438" s="3"/>
      <c r="K1438" s="3"/>
      <c r="L1438" s="3"/>
      <c r="N1438" s="10"/>
      <c r="O1438" s="3"/>
      <c r="P1438" s="3"/>
      <c r="Q1438" s="3"/>
    </row>
    <row r="1439" spans="5:17" x14ac:dyDescent="0.25">
      <c r="E1439" s="2"/>
      <c r="G1439" s="3"/>
      <c r="H1439" s="3"/>
      <c r="I1439" s="3"/>
      <c r="J1439" s="3"/>
      <c r="K1439" s="3"/>
      <c r="L1439" s="3"/>
      <c r="N1439" s="10"/>
      <c r="O1439" s="3"/>
      <c r="P1439" s="3"/>
      <c r="Q1439" s="3"/>
    </row>
    <row r="1440" spans="5:17" x14ac:dyDescent="0.25">
      <c r="E1440" s="2"/>
      <c r="G1440" s="3"/>
      <c r="H1440" s="3"/>
      <c r="I1440" s="3"/>
      <c r="J1440" s="3"/>
      <c r="K1440" s="3"/>
      <c r="L1440" s="3"/>
      <c r="N1440" s="10"/>
      <c r="O1440" s="3"/>
      <c r="P1440" s="3"/>
      <c r="Q1440" s="3"/>
    </row>
    <row r="1441" spans="5:17" x14ac:dyDescent="0.25">
      <c r="E1441" s="2"/>
      <c r="G1441" s="3"/>
      <c r="H1441" s="3"/>
      <c r="I1441" s="3"/>
      <c r="J1441" s="3"/>
      <c r="K1441" s="3"/>
      <c r="L1441" s="3"/>
      <c r="N1441" s="10"/>
      <c r="O1441" s="3"/>
      <c r="P1441" s="3"/>
      <c r="Q1441" s="3"/>
    </row>
    <row r="1442" spans="5:17" x14ac:dyDescent="0.25">
      <c r="E1442" s="2"/>
      <c r="G1442" s="3"/>
      <c r="H1442" s="3"/>
      <c r="I1442" s="3"/>
      <c r="J1442" s="3"/>
      <c r="K1442" s="3"/>
      <c r="L1442" s="3"/>
      <c r="N1442" s="10"/>
      <c r="O1442" s="3"/>
      <c r="P1442" s="3"/>
      <c r="Q1442" s="3"/>
    </row>
    <row r="1443" spans="5:17" x14ac:dyDescent="0.25">
      <c r="E1443" s="2"/>
      <c r="G1443" s="3"/>
      <c r="H1443" s="3"/>
      <c r="I1443" s="3"/>
      <c r="J1443" s="3"/>
      <c r="K1443" s="3"/>
      <c r="L1443" s="3"/>
      <c r="N1443" s="10"/>
      <c r="O1443" s="3"/>
      <c r="P1443" s="3"/>
      <c r="Q1443" s="3"/>
    </row>
    <row r="1444" spans="5:17" x14ac:dyDescent="0.25">
      <c r="E1444" s="2"/>
      <c r="G1444" s="3"/>
      <c r="H1444" s="3"/>
      <c r="I1444" s="3"/>
      <c r="J1444" s="3"/>
      <c r="K1444" s="3"/>
      <c r="L1444" s="3"/>
      <c r="N1444" s="10"/>
      <c r="O1444" s="3"/>
      <c r="P1444" s="3"/>
      <c r="Q1444" s="3"/>
    </row>
    <row r="1445" spans="5:17" x14ac:dyDescent="0.25">
      <c r="E1445" s="2"/>
      <c r="G1445" s="3"/>
      <c r="H1445" s="3"/>
      <c r="I1445" s="3"/>
      <c r="J1445" s="3"/>
      <c r="K1445" s="3"/>
      <c r="L1445" s="3"/>
      <c r="N1445" s="10"/>
      <c r="O1445" s="3"/>
      <c r="P1445" s="3"/>
      <c r="Q1445" s="3"/>
    </row>
    <row r="1446" spans="5:17" x14ac:dyDescent="0.25">
      <c r="E1446" s="2"/>
      <c r="G1446" s="3"/>
      <c r="H1446" s="3"/>
      <c r="I1446" s="3"/>
      <c r="J1446" s="3"/>
      <c r="K1446" s="3"/>
      <c r="L1446" s="3"/>
      <c r="N1446" s="10"/>
      <c r="O1446" s="3"/>
      <c r="P1446" s="3"/>
      <c r="Q1446" s="3"/>
    </row>
    <row r="1447" spans="5:17" x14ac:dyDescent="0.25">
      <c r="E1447" s="2"/>
      <c r="G1447" s="3"/>
      <c r="H1447" s="3"/>
      <c r="I1447" s="3"/>
      <c r="J1447" s="3"/>
      <c r="K1447" s="3"/>
      <c r="L1447" s="3"/>
      <c r="N1447" s="10"/>
      <c r="O1447" s="3"/>
      <c r="P1447" s="3"/>
      <c r="Q1447" s="3"/>
    </row>
    <row r="1448" spans="5:17" x14ac:dyDescent="0.25">
      <c r="E1448" s="2"/>
      <c r="G1448" s="3"/>
      <c r="H1448" s="3"/>
      <c r="I1448" s="3"/>
      <c r="J1448" s="3"/>
      <c r="K1448" s="3"/>
      <c r="L1448" s="3"/>
      <c r="N1448" s="10"/>
      <c r="O1448" s="3"/>
      <c r="P1448" s="3"/>
      <c r="Q1448" s="3"/>
    </row>
    <row r="1449" spans="5:17" x14ac:dyDescent="0.25">
      <c r="E1449" s="2"/>
      <c r="G1449" s="3"/>
      <c r="H1449" s="3"/>
      <c r="I1449" s="3"/>
      <c r="J1449" s="3"/>
      <c r="K1449" s="3"/>
      <c r="L1449" s="3"/>
      <c r="N1449" s="10"/>
      <c r="O1449" s="3"/>
      <c r="P1449" s="3"/>
      <c r="Q1449" s="3"/>
    </row>
    <row r="1450" spans="5:17" x14ac:dyDescent="0.25">
      <c r="E1450" s="2"/>
      <c r="G1450" s="3"/>
      <c r="H1450" s="3"/>
      <c r="I1450" s="3"/>
      <c r="J1450" s="3"/>
      <c r="K1450" s="3"/>
      <c r="L1450" s="3"/>
      <c r="N1450" s="10"/>
      <c r="O1450" s="3"/>
      <c r="P1450" s="3"/>
      <c r="Q1450" s="3"/>
    </row>
    <row r="1451" spans="5:17" x14ac:dyDescent="0.25">
      <c r="E1451" s="2"/>
      <c r="G1451" s="3"/>
      <c r="H1451" s="3"/>
      <c r="I1451" s="3"/>
      <c r="J1451" s="3"/>
      <c r="K1451" s="3"/>
      <c r="L1451" s="3"/>
      <c r="N1451" s="10"/>
      <c r="O1451" s="3"/>
      <c r="P1451" s="3"/>
      <c r="Q1451" s="3"/>
    </row>
    <row r="1452" spans="5:17" x14ac:dyDescent="0.25">
      <c r="E1452" s="2"/>
      <c r="G1452" s="3"/>
      <c r="H1452" s="3"/>
      <c r="I1452" s="3"/>
      <c r="J1452" s="3"/>
      <c r="K1452" s="3"/>
      <c r="L1452" s="3"/>
      <c r="N1452" s="10"/>
      <c r="O1452" s="3"/>
      <c r="P1452" s="3"/>
      <c r="Q1452" s="3"/>
    </row>
    <row r="1453" spans="5:17" x14ac:dyDescent="0.25">
      <c r="E1453" s="2"/>
      <c r="G1453" s="3"/>
      <c r="H1453" s="3"/>
      <c r="I1453" s="3"/>
      <c r="J1453" s="3"/>
      <c r="K1453" s="3"/>
      <c r="L1453" s="3"/>
      <c r="N1453" s="10"/>
      <c r="O1453" s="3"/>
      <c r="P1453" s="3"/>
      <c r="Q1453" s="3"/>
    </row>
    <row r="1454" spans="5:17" x14ac:dyDescent="0.25">
      <c r="E1454" s="2"/>
      <c r="G1454" s="3"/>
      <c r="H1454" s="3"/>
      <c r="I1454" s="3"/>
      <c r="J1454" s="3"/>
      <c r="K1454" s="3"/>
      <c r="L1454" s="3"/>
      <c r="N1454" s="10"/>
      <c r="O1454" s="3"/>
      <c r="P1454" s="3"/>
      <c r="Q1454" s="3"/>
    </row>
    <row r="1455" spans="5:17" x14ac:dyDescent="0.25">
      <c r="E1455" s="2"/>
      <c r="G1455" s="3"/>
      <c r="H1455" s="3"/>
      <c r="I1455" s="3"/>
      <c r="J1455" s="3"/>
      <c r="K1455" s="3"/>
      <c r="L1455" s="3"/>
      <c r="N1455" s="10"/>
      <c r="O1455" s="3"/>
      <c r="P1455" s="3"/>
      <c r="Q1455" s="3"/>
    </row>
    <row r="1456" spans="5:17" x14ac:dyDescent="0.25">
      <c r="E1456" s="2"/>
      <c r="G1456" s="3"/>
      <c r="H1456" s="3"/>
      <c r="I1456" s="3"/>
      <c r="J1456" s="3"/>
      <c r="K1456" s="3"/>
      <c r="L1456" s="3"/>
      <c r="N1456" s="10"/>
      <c r="O1456" s="3"/>
      <c r="P1456" s="3"/>
      <c r="Q1456" s="3"/>
    </row>
    <row r="1457" spans="5:17" x14ac:dyDescent="0.25">
      <c r="E1457" s="2"/>
      <c r="G1457" s="3"/>
      <c r="H1457" s="3"/>
      <c r="I1457" s="3"/>
      <c r="J1457" s="3"/>
      <c r="K1457" s="3"/>
      <c r="L1457" s="3"/>
      <c r="N1457" s="10"/>
      <c r="O1457" s="3"/>
      <c r="P1457" s="3"/>
      <c r="Q1457" s="3"/>
    </row>
    <row r="1458" spans="5:17" x14ac:dyDescent="0.25">
      <c r="E1458" s="2"/>
      <c r="G1458" s="3"/>
      <c r="H1458" s="3"/>
      <c r="I1458" s="3"/>
      <c r="J1458" s="3"/>
      <c r="K1458" s="3"/>
      <c r="L1458" s="3"/>
      <c r="N1458" s="10"/>
      <c r="O1458" s="3"/>
      <c r="P1458" s="3"/>
      <c r="Q1458" s="3"/>
    </row>
    <row r="1459" spans="5:17" x14ac:dyDescent="0.25">
      <c r="E1459" s="2"/>
      <c r="G1459" s="3"/>
      <c r="H1459" s="3"/>
      <c r="I1459" s="3"/>
      <c r="J1459" s="3"/>
      <c r="K1459" s="3"/>
      <c r="L1459" s="3"/>
      <c r="N1459" s="10"/>
      <c r="O1459" s="3"/>
      <c r="P1459" s="3"/>
      <c r="Q1459" s="3"/>
    </row>
    <row r="1460" spans="5:17" x14ac:dyDescent="0.25">
      <c r="E1460" s="2"/>
      <c r="G1460" s="3"/>
      <c r="H1460" s="3"/>
      <c r="I1460" s="3"/>
      <c r="J1460" s="3"/>
      <c r="K1460" s="3"/>
      <c r="L1460" s="3"/>
      <c r="N1460" s="10"/>
      <c r="O1460" s="3"/>
      <c r="P1460" s="3"/>
      <c r="Q1460" s="3"/>
    </row>
    <row r="1461" spans="5:17" x14ac:dyDescent="0.25">
      <c r="E1461" s="2"/>
      <c r="G1461" s="3"/>
      <c r="H1461" s="3"/>
      <c r="I1461" s="3"/>
      <c r="J1461" s="3"/>
      <c r="K1461" s="3"/>
      <c r="L1461" s="3"/>
      <c r="N1461" s="10"/>
      <c r="O1461" s="3"/>
      <c r="P1461" s="3"/>
      <c r="Q1461" s="3"/>
    </row>
    <row r="1462" spans="5:17" x14ac:dyDescent="0.25">
      <c r="E1462" s="2"/>
      <c r="G1462" s="3"/>
      <c r="H1462" s="3"/>
      <c r="I1462" s="3"/>
      <c r="J1462" s="3"/>
      <c r="K1462" s="3"/>
      <c r="L1462" s="3"/>
      <c r="N1462" s="10"/>
      <c r="O1462" s="3"/>
      <c r="P1462" s="3"/>
      <c r="Q1462" s="3"/>
    </row>
    <row r="1463" spans="5:17" x14ac:dyDescent="0.25">
      <c r="E1463" s="2"/>
      <c r="G1463" s="3"/>
      <c r="H1463" s="3"/>
      <c r="I1463" s="3"/>
      <c r="J1463" s="3"/>
      <c r="K1463" s="3"/>
      <c r="L1463" s="3"/>
      <c r="N1463" s="10"/>
      <c r="O1463" s="3"/>
      <c r="P1463" s="3"/>
      <c r="Q1463" s="3"/>
    </row>
    <row r="1464" spans="5:17" x14ac:dyDescent="0.25">
      <c r="E1464" s="2"/>
      <c r="G1464" s="3"/>
      <c r="H1464" s="3"/>
      <c r="I1464" s="3"/>
      <c r="J1464" s="3"/>
      <c r="K1464" s="3"/>
      <c r="L1464" s="3"/>
      <c r="N1464" s="10"/>
      <c r="O1464" s="3"/>
      <c r="P1464" s="3"/>
      <c r="Q1464" s="3"/>
    </row>
    <row r="1465" spans="5:17" x14ac:dyDescent="0.25">
      <c r="E1465" s="2"/>
      <c r="G1465" s="3"/>
      <c r="H1465" s="3"/>
      <c r="I1465" s="3"/>
      <c r="J1465" s="3"/>
      <c r="K1465" s="3"/>
      <c r="L1465" s="3"/>
      <c r="N1465" s="10"/>
      <c r="O1465" s="3"/>
      <c r="P1465" s="3"/>
      <c r="Q1465" s="3"/>
    </row>
    <row r="1466" spans="5:17" x14ac:dyDescent="0.25">
      <c r="E1466" s="2"/>
      <c r="G1466" s="3"/>
      <c r="H1466" s="3"/>
      <c r="I1466" s="3"/>
      <c r="J1466" s="3"/>
      <c r="K1466" s="3"/>
      <c r="L1466" s="3"/>
      <c r="N1466" s="10"/>
      <c r="O1466" s="3"/>
      <c r="P1466" s="3"/>
      <c r="Q1466" s="3"/>
    </row>
    <row r="1467" spans="5:17" x14ac:dyDescent="0.25">
      <c r="E1467" s="2"/>
      <c r="G1467" s="3"/>
      <c r="H1467" s="3"/>
      <c r="I1467" s="3"/>
      <c r="J1467" s="3"/>
      <c r="K1467" s="3"/>
      <c r="L1467" s="3"/>
      <c r="N1467" s="10"/>
      <c r="O1467" s="3"/>
      <c r="P1467" s="3"/>
      <c r="Q1467" s="3"/>
    </row>
    <row r="1468" spans="5:17" x14ac:dyDescent="0.25">
      <c r="E1468" s="2"/>
      <c r="G1468" s="3"/>
      <c r="H1468" s="3"/>
      <c r="I1468" s="3"/>
      <c r="J1468" s="3"/>
      <c r="K1468" s="3"/>
      <c r="L1468" s="3"/>
      <c r="N1468" s="10"/>
      <c r="O1468" s="3"/>
      <c r="P1468" s="3"/>
      <c r="Q1468" s="3"/>
    </row>
    <row r="1469" spans="5:17" x14ac:dyDescent="0.25">
      <c r="E1469" s="2"/>
      <c r="G1469" s="3"/>
      <c r="H1469" s="3"/>
      <c r="I1469" s="3"/>
      <c r="J1469" s="3"/>
      <c r="K1469" s="3"/>
      <c r="L1469" s="3"/>
      <c r="N1469" s="10"/>
      <c r="O1469" s="3"/>
      <c r="P1469" s="3"/>
      <c r="Q1469" s="3"/>
    </row>
    <row r="1470" spans="5:17" x14ac:dyDescent="0.25">
      <c r="E1470" s="2"/>
      <c r="G1470" s="3"/>
      <c r="H1470" s="3"/>
      <c r="I1470" s="3"/>
      <c r="J1470" s="3"/>
      <c r="K1470" s="3"/>
      <c r="L1470" s="3"/>
      <c r="N1470" s="10"/>
      <c r="O1470" s="3"/>
      <c r="P1470" s="3"/>
      <c r="Q1470" s="3"/>
    </row>
    <row r="1471" spans="5:17" x14ac:dyDescent="0.25">
      <c r="E1471" s="2"/>
      <c r="G1471" s="3"/>
      <c r="H1471" s="3"/>
      <c r="I1471" s="3"/>
      <c r="J1471" s="3"/>
      <c r="K1471" s="3"/>
      <c r="L1471" s="3"/>
      <c r="N1471" s="10"/>
      <c r="O1471" s="3"/>
      <c r="P1471" s="3"/>
      <c r="Q1471" s="3"/>
    </row>
    <row r="1472" spans="5:17" x14ac:dyDescent="0.25">
      <c r="E1472" s="2"/>
      <c r="G1472" s="3"/>
      <c r="H1472" s="3"/>
      <c r="I1472" s="3"/>
      <c r="J1472" s="3"/>
      <c r="K1472" s="3"/>
      <c r="L1472" s="3"/>
      <c r="N1472" s="10"/>
      <c r="O1472" s="3"/>
      <c r="P1472" s="3"/>
      <c r="Q1472" s="3"/>
    </row>
    <row r="1473" spans="5:17" x14ac:dyDescent="0.25">
      <c r="E1473" s="2"/>
      <c r="G1473" s="3"/>
      <c r="H1473" s="3"/>
      <c r="I1473" s="3"/>
      <c r="J1473" s="3"/>
      <c r="K1473" s="3"/>
      <c r="L1473" s="3"/>
      <c r="N1473" s="10"/>
      <c r="O1473" s="3"/>
      <c r="P1473" s="3"/>
      <c r="Q1473" s="3"/>
    </row>
    <row r="1474" spans="5:17" x14ac:dyDescent="0.25">
      <c r="E1474" s="2"/>
      <c r="G1474" s="3"/>
      <c r="H1474" s="3"/>
      <c r="I1474" s="3"/>
      <c r="J1474" s="3"/>
      <c r="K1474" s="3"/>
      <c r="L1474" s="3"/>
      <c r="N1474" s="10"/>
      <c r="O1474" s="3"/>
      <c r="P1474" s="3"/>
      <c r="Q1474" s="3"/>
    </row>
    <row r="1475" spans="5:17" x14ac:dyDescent="0.25">
      <c r="E1475" s="2"/>
      <c r="G1475" s="3"/>
      <c r="H1475" s="3"/>
      <c r="I1475" s="3"/>
      <c r="J1475" s="3"/>
      <c r="K1475" s="3"/>
      <c r="L1475" s="3"/>
      <c r="N1475" s="10"/>
      <c r="O1475" s="3"/>
      <c r="P1475" s="3"/>
      <c r="Q1475" s="3"/>
    </row>
    <row r="1476" spans="5:17" x14ac:dyDescent="0.25">
      <c r="E1476" s="2"/>
      <c r="G1476" s="3"/>
      <c r="H1476" s="3"/>
      <c r="I1476" s="3"/>
      <c r="J1476" s="3"/>
      <c r="K1476" s="3"/>
      <c r="L1476" s="3"/>
      <c r="N1476" s="10"/>
      <c r="O1476" s="3"/>
      <c r="P1476" s="3"/>
      <c r="Q1476" s="3"/>
    </row>
    <row r="1477" spans="5:17" x14ac:dyDescent="0.25">
      <c r="E1477" s="2"/>
      <c r="G1477" s="3"/>
      <c r="H1477" s="3"/>
      <c r="I1477" s="3"/>
      <c r="J1477" s="3"/>
      <c r="K1477" s="3"/>
      <c r="L1477" s="3"/>
      <c r="N1477" s="10"/>
      <c r="O1477" s="3"/>
      <c r="P1477" s="3"/>
      <c r="Q1477" s="3"/>
    </row>
    <row r="1478" spans="5:17" x14ac:dyDescent="0.25">
      <c r="E1478" s="2"/>
      <c r="G1478" s="3"/>
      <c r="H1478" s="3"/>
      <c r="I1478" s="3"/>
      <c r="J1478" s="3"/>
      <c r="K1478" s="3"/>
      <c r="L1478" s="3"/>
      <c r="N1478" s="10"/>
      <c r="O1478" s="3"/>
      <c r="P1478" s="3"/>
      <c r="Q1478" s="3"/>
    </row>
    <row r="1479" spans="5:17" x14ac:dyDescent="0.25">
      <c r="E1479" s="2"/>
      <c r="G1479" s="3"/>
      <c r="H1479" s="3"/>
      <c r="I1479" s="3"/>
      <c r="J1479" s="3"/>
      <c r="K1479" s="3"/>
      <c r="L1479" s="3"/>
      <c r="N1479" s="10"/>
      <c r="O1479" s="3"/>
      <c r="P1479" s="3"/>
      <c r="Q1479" s="3"/>
    </row>
    <row r="1480" spans="5:17" x14ac:dyDescent="0.25">
      <c r="E1480" s="2"/>
      <c r="G1480" s="3"/>
      <c r="H1480" s="3"/>
      <c r="I1480" s="3"/>
      <c r="J1480" s="3"/>
      <c r="K1480" s="3"/>
      <c r="L1480" s="3"/>
      <c r="N1480" s="10"/>
      <c r="O1480" s="3"/>
      <c r="P1480" s="3"/>
      <c r="Q1480" s="3"/>
    </row>
    <row r="1481" spans="5:17" x14ac:dyDescent="0.25">
      <c r="E1481" s="2"/>
      <c r="G1481" s="3"/>
      <c r="H1481" s="3"/>
      <c r="I1481" s="3"/>
      <c r="J1481" s="3"/>
      <c r="K1481" s="3"/>
      <c r="L1481" s="3"/>
      <c r="N1481" s="10"/>
      <c r="O1481" s="3"/>
      <c r="P1481" s="3"/>
      <c r="Q1481" s="3"/>
    </row>
    <row r="1482" spans="5:17" x14ac:dyDescent="0.25">
      <c r="E1482" s="2"/>
      <c r="G1482" s="3"/>
      <c r="H1482" s="3"/>
      <c r="I1482" s="3"/>
      <c r="J1482" s="3"/>
      <c r="K1482" s="3"/>
      <c r="L1482" s="3"/>
      <c r="N1482" s="10"/>
      <c r="O1482" s="3"/>
      <c r="P1482" s="3"/>
      <c r="Q1482" s="3"/>
    </row>
    <row r="1483" spans="5:17" x14ac:dyDescent="0.25">
      <c r="E1483" s="2"/>
      <c r="G1483" s="3"/>
      <c r="H1483" s="3"/>
      <c r="I1483" s="3"/>
      <c r="J1483" s="3"/>
      <c r="K1483" s="3"/>
      <c r="L1483" s="3"/>
      <c r="N1483" s="10"/>
      <c r="O1483" s="3"/>
      <c r="P1483" s="3"/>
      <c r="Q1483" s="3"/>
    </row>
    <row r="1484" spans="5:17" x14ac:dyDescent="0.25">
      <c r="E1484" s="2"/>
      <c r="G1484" s="3"/>
      <c r="H1484" s="3"/>
      <c r="I1484" s="3"/>
      <c r="J1484" s="3"/>
      <c r="K1484" s="3"/>
      <c r="L1484" s="3"/>
      <c r="N1484" s="10"/>
      <c r="O1484" s="3"/>
      <c r="P1484" s="3"/>
      <c r="Q1484" s="3"/>
    </row>
    <row r="1485" spans="5:17" x14ac:dyDescent="0.25">
      <c r="E1485" s="2"/>
      <c r="G1485" s="3"/>
      <c r="H1485" s="3"/>
      <c r="I1485" s="3"/>
      <c r="J1485" s="3"/>
      <c r="K1485" s="3"/>
      <c r="L1485" s="3"/>
      <c r="N1485" s="10"/>
      <c r="O1485" s="3"/>
      <c r="P1485" s="3"/>
      <c r="Q1485" s="3"/>
    </row>
    <row r="1486" spans="5:17" x14ac:dyDescent="0.25">
      <c r="E1486" s="2"/>
      <c r="G1486" s="3"/>
      <c r="H1486" s="3"/>
      <c r="I1486" s="3"/>
      <c r="J1486" s="3"/>
      <c r="K1486" s="3"/>
      <c r="L1486" s="3"/>
      <c r="N1486" s="10"/>
      <c r="O1486" s="3"/>
      <c r="P1486" s="3"/>
      <c r="Q1486" s="3"/>
    </row>
    <row r="1487" spans="5:17" x14ac:dyDescent="0.25">
      <c r="E1487" s="2"/>
      <c r="G1487" s="3"/>
      <c r="H1487" s="3"/>
      <c r="I1487" s="3"/>
      <c r="J1487" s="3"/>
      <c r="K1487" s="3"/>
      <c r="L1487" s="3"/>
      <c r="N1487" s="10"/>
      <c r="O1487" s="3"/>
      <c r="P1487" s="3"/>
      <c r="Q1487" s="3"/>
    </row>
    <row r="1488" spans="5:17" x14ac:dyDescent="0.25">
      <c r="E1488" s="2"/>
      <c r="G1488" s="3"/>
      <c r="H1488" s="3"/>
      <c r="I1488" s="3"/>
      <c r="J1488" s="3"/>
      <c r="K1488" s="3"/>
      <c r="L1488" s="3"/>
      <c r="N1488" s="10"/>
      <c r="O1488" s="3"/>
      <c r="P1488" s="3"/>
      <c r="Q1488" s="3"/>
    </row>
    <row r="1489" spans="5:17" x14ac:dyDescent="0.25">
      <c r="E1489" s="2"/>
      <c r="G1489" s="3"/>
      <c r="H1489" s="3"/>
      <c r="I1489" s="3"/>
      <c r="J1489" s="3"/>
      <c r="K1489" s="3"/>
      <c r="L1489" s="3"/>
      <c r="N1489" s="10"/>
      <c r="O1489" s="3"/>
      <c r="P1489" s="3"/>
      <c r="Q1489" s="3"/>
    </row>
    <row r="1490" spans="5:17" x14ac:dyDescent="0.25">
      <c r="E1490" s="2"/>
      <c r="G1490" s="3"/>
      <c r="H1490" s="3"/>
      <c r="I1490" s="3"/>
      <c r="J1490" s="3"/>
      <c r="K1490" s="3"/>
      <c r="L1490" s="3"/>
      <c r="N1490" s="10"/>
      <c r="O1490" s="3"/>
      <c r="P1490" s="3"/>
      <c r="Q1490" s="3"/>
    </row>
    <row r="1491" spans="5:17" x14ac:dyDescent="0.25">
      <c r="E1491" s="2"/>
      <c r="G1491" s="3"/>
      <c r="H1491" s="3"/>
      <c r="I1491" s="3"/>
      <c r="J1491" s="3"/>
      <c r="K1491" s="3"/>
      <c r="L1491" s="3"/>
      <c r="N1491" s="10"/>
      <c r="O1491" s="3"/>
      <c r="P1491" s="3"/>
      <c r="Q1491" s="3"/>
    </row>
    <row r="1492" spans="5:17" x14ac:dyDescent="0.25">
      <c r="E1492" s="2"/>
      <c r="G1492" s="3"/>
      <c r="H1492" s="3"/>
      <c r="I1492" s="3"/>
      <c r="J1492" s="3"/>
      <c r="K1492" s="3"/>
      <c r="L1492" s="3"/>
      <c r="N1492" s="10"/>
      <c r="O1492" s="3"/>
      <c r="P1492" s="3"/>
      <c r="Q1492" s="3"/>
    </row>
    <row r="1493" spans="5:17" x14ac:dyDescent="0.25">
      <c r="E1493" s="2"/>
      <c r="G1493" s="3"/>
      <c r="H1493" s="3"/>
      <c r="I1493" s="3"/>
      <c r="J1493" s="3"/>
      <c r="K1493" s="3"/>
      <c r="L1493" s="3"/>
      <c r="N1493" s="10"/>
      <c r="O1493" s="3"/>
      <c r="P1493" s="3"/>
      <c r="Q1493" s="3"/>
    </row>
    <row r="1494" spans="5:17" x14ac:dyDescent="0.25">
      <c r="E1494" s="2"/>
      <c r="G1494" s="3"/>
      <c r="H1494" s="3"/>
      <c r="I1494" s="3"/>
      <c r="J1494" s="3"/>
      <c r="K1494" s="3"/>
      <c r="L1494" s="3"/>
      <c r="N1494" s="10"/>
      <c r="O1494" s="3"/>
      <c r="P1494" s="3"/>
      <c r="Q1494" s="3"/>
    </row>
    <row r="1495" spans="5:17" x14ac:dyDescent="0.25">
      <c r="E1495" s="2"/>
      <c r="G1495" s="3"/>
      <c r="H1495" s="3"/>
      <c r="I1495" s="3"/>
      <c r="J1495" s="3"/>
      <c r="K1495" s="3"/>
      <c r="L1495" s="3"/>
      <c r="N1495" s="10"/>
      <c r="O1495" s="3"/>
      <c r="P1495" s="3"/>
      <c r="Q1495" s="3"/>
    </row>
    <row r="1496" spans="5:17" x14ac:dyDescent="0.25">
      <c r="E1496" s="2"/>
      <c r="G1496" s="3"/>
      <c r="H1496" s="3"/>
      <c r="I1496" s="3"/>
      <c r="J1496" s="3"/>
      <c r="K1496" s="3"/>
      <c r="L1496" s="3"/>
      <c r="N1496" s="10"/>
      <c r="O1496" s="3"/>
      <c r="P1496" s="3"/>
      <c r="Q1496" s="3"/>
    </row>
    <row r="1497" spans="5:17" x14ac:dyDescent="0.25">
      <c r="E1497" s="2"/>
      <c r="G1497" s="3"/>
      <c r="H1497" s="3"/>
      <c r="I1497" s="3"/>
      <c r="J1497" s="3"/>
      <c r="K1497" s="3"/>
      <c r="L1497" s="3"/>
      <c r="N1497" s="10"/>
      <c r="O1497" s="3"/>
      <c r="P1497" s="3"/>
      <c r="Q1497" s="3"/>
    </row>
    <row r="1498" spans="5:17" x14ac:dyDescent="0.25">
      <c r="E1498" s="2"/>
      <c r="G1498" s="3"/>
      <c r="H1498" s="3"/>
      <c r="I1498" s="3"/>
      <c r="J1498" s="3"/>
      <c r="K1498" s="3"/>
      <c r="L1498" s="3"/>
      <c r="N1498" s="10"/>
      <c r="O1498" s="3"/>
      <c r="P1498" s="3"/>
      <c r="Q1498" s="3"/>
    </row>
    <row r="1499" spans="5:17" x14ac:dyDescent="0.25">
      <c r="E1499" s="2"/>
      <c r="G1499" s="3"/>
      <c r="H1499" s="3"/>
      <c r="I1499" s="3"/>
      <c r="J1499" s="3"/>
      <c r="K1499" s="3"/>
      <c r="L1499" s="3"/>
      <c r="N1499" s="10"/>
      <c r="O1499" s="3"/>
      <c r="P1499" s="3"/>
      <c r="Q1499" s="3"/>
    </row>
    <row r="1500" spans="5:17" x14ac:dyDescent="0.25">
      <c r="E1500" s="2"/>
      <c r="G1500" s="3"/>
      <c r="H1500" s="3"/>
      <c r="I1500" s="3"/>
      <c r="J1500" s="3"/>
      <c r="K1500" s="3"/>
      <c r="L1500" s="3"/>
      <c r="N1500" s="10"/>
      <c r="O1500" s="3"/>
      <c r="P1500" s="3"/>
      <c r="Q1500" s="3"/>
    </row>
    <row r="1501" spans="5:17" x14ac:dyDescent="0.25">
      <c r="E1501" s="2"/>
      <c r="G1501" s="3"/>
      <c r="H1501" s="3"/>
      <c r="I1501" s="3"/>
      <c r="J1501" s="3"/>
      <c r="K1501" s="3"/>
      <c r="L1501" s="3"/>
      <c r="N1501" s="10"/>
      <c r="O1501" s="3"/>
      <c r="P1501" s="3"/>
      <c r="Q1501" s="3"/>
    </row>
    <row r="1502" spans="5:17" x14ac:dyDescent="0.25">
      <c r="E1502" s="2"/>
      <c r="G1502" s="3"/>
      <c r="H1502" s="3"/>
      <c r="I1502" s="3"/>
      <c r="J1502" s="3"/>
      <c r="K1502" s="3"/>
      <c r="L1502" s="3"/>
      <c r="N1502" s="10"/>
      <c r="O1502" s="3"/>
      <c r="P1502" s="3"/>
      <c r="Q1502" s="3"/>
    </row>
    <row r="1503" spans="5:17" x14ac:dyDescent="0.25">
      <c r="E1503" s="2"/>
      <c r="G1503" s="3"/>
      <c r="H1503" s="3"/>
      <c r="I1503" s="3"/>
      <c r="J1503" s="3"/>
      <c r="K1503" s="3"/>
      <c r="L1503" s="3"/>
      <c r="N1503" s="10"/>
      <c r="O1503" s="3"/>
      <c r="P1503" s="3"/>
      <c r="Q1503" s="3"/>
    </row>
    <row r="1504" spans="5:17" x14ac:dyDescent="0.25">
      <c r="E1504" s="2"/>
      <c r="G1504" s="3"/>
      <c r="H1504" s="3"/>
      <c r="I1504" s="3"/>
      <c r="J1504" s="3"/>
      <c r="K1504" s="3"/>
      <c r="L1504" s="3"/>
      <c r="N1504" s="10"/>
      <c r="O1504" s="3"/>
      <c r="P1504" s="3"/>
      <c r="Q1504" s="3"/>
    </row>
    <row r="1505" spans="5:17" x14ac:dyDescent="0.25">
      <c r="E1505" s="2"/>
      <c r="G1505" s="3"/>
      <c r="H1505" s="3"/>
      <c r="I1505" s="3"/>
      <c r="J1505" s="3"/>
      <c r="K1505" s="3"/>
      <c r="L1505" s="3"/>
      <c r="N1505" s="10"/>
      <c r="O1505" s="3"/>
      <c r="P1505" s="3"/>
      <c r="Q1505" s="3"/>
    </row>
    <row r="1506" spans="5:17" x14ac:dyDescent="0.25">
      <c r="E1506" s="2"/>
      <c r="G1506" s="3"/>
      <c r="H1506" s="3"/>
      <c r="I1506" s="3"/>
      <c r="J1506" s="3"/>
      <c r="K1506" s="3"/>
      <c r="L1506" s="3"/>
      <c r="N1506" s="10"/>
      <c r="O1506" s="3"/>
      <c r="P1506" s="3"/>
      <c r="Q1506" s="3"/>
    </row>
    <row r="1507" spans="5:17" x14ac:dyDescent="0.25">
      <c r="E1507" s="2"/>
      <c r="G1507" s="3"/>
      <c r="H1507" s="3"/>
      <c r="I1507" s="3"/>
      <c r="J1507" s="3"/>
      <c r="K1507" s="3"/>
      <c r="L1507" s="3"/>
      <c r="N1507" s="10"/>
      <c r="O1507" s="3"/>
      <c r="P1507" s="3"/>
      <c r="Q1507" s="3"/>
    </row>
    <row r="1508" spans="5:17" x14ac:dyDescent="0.25">
      <c r="E1508" s="2"/>
      <c r="G1508" s="3"/>
      <c r="H1508" s="3"/>
      <c r="I1508" s="3"/>
      <c r="J1508" s="3"/>
      <c r="K1508" s="3"/>
      <c r="L1508" s="3"/>
      <c r="N1508" s="10"/>
      <c r="O1508" s="3"/>
      <c r="P1508" s="3"/>
      <c r="Q1508" s="3"/>
    </row>
    <row r="1509" spans="5:17" x14ac:dyDescent="0.25">
      <c r="E1509" s="2"/>
      <c r="G1509" s="3"/>
      <c r="H1509" s="3"/>
      <c r="I1509" s="3"/>
      <c r="J1509" s="3"/>
      <c r="K1509" s="3"/>
      <c r="L1509" s="3"/>
      <c r="N1509" s="10"/>
      <c r="O1509" s="3"/>
      <c r="P1509" s="3"/>
      <c r="Q1509" s="3"/>
    </row>
    <row r="1510" spans="5:17" x14ac:dyDescent="0.25">
      <c r="E1510" s="2"/>
      <c r="G1510" s="3"/>
      <c r="H1510" s="3"/>
      <c r="I1510" s="3"/>
      <c r="J1510" s="3"/>
      <c r="K1510" s="3"/>
      <c r="L1510" s="3"/>
      <c r="N1510" s="10"/>
      <c r="O1510" s="3"/>
      <c r="P1510" s="3"/>
      <c r="Q1510" s="3"/>
    </row>
    <row r="1511" spans="5:17" x14ac:dyDescent="0.25">
      <c r="E1511" s="2"/>
      <c r="G1511" s="3"/>
      <c r="H1511" s="3"/>
      <c r="I1511" s="3"/>
      <c r="J1511" s="3"/>
      <c r="K1511" s="3"/>
      <c r="L1511" s="3"/>
      <c r="N1511" s="10"/>
      <c r="O1511" s="3"/>
      <c r="P1511" s="3"/>
      <c r="Q1511" s="3"/>
    </row>
    <row r="1512" spans="5:17" x14ac:dyDescent="0.25">
      <c r="E1512" s="2"/>
      <c r="G1512" s="3"/>
      <c r="H1512" s="3"/>
      <c r="I1512" s="3"/>
      <c r="J1512" s="3"/>
      <c r="K1512" s="3"/>
      <c r="L1512" s="3"/>
      <c r="N1512" s="10"/>
      <c r="O1512" s="3"/>
      <c r="P1512" s="3"/>
      <c r="Q1512" s="3"/>
    </row>
    <row r="1513" spans="5:17" x14ac:dyDescent="0.25">
      <c r="E1513" s="2"/>
      <c r="G1513" s="3"/>
      <c r="H1513" s="3"/>
      <c r="I1513" s="3"/>
      <c r="J1513" s="3"/>
      <c r="K1513" s="3"/>
      <c r="L1513" s="3"/>
      <c r="N1513" s="10"/>
      <c r="O1513" s="3"/>
      <c r="P1513" s="3"/>
      <c r="Q1513" s="3"/>
    </row>
    <row r="1514" spans="5:17" x14ac:dyDescent="0.25">
      <c r="E1514" s="2"/>
      <c r="G1514" s="3"/>
      <c r="H1514" s="3"/>
      <c r="I1514" s="3"/>
      <c r="J1514" s="3"/>
      <c r="K1514" s="3"/>
      <c r="L1514" s="3"/>
      <c r="N1514" s="10"/>
      <c r="O1514" s="3"/>
      <c r="P1514" s="3"/>
      <c r="Q1514" s="3"/>
    </row>
    <row r="1515" spans="5:17" x14ac:dyDescent="0.25">
      <c r="E1515" s="2"/>
      <c r="G1515" s="3"/>
      <c r="H1515" s="3"/>
      <c r="I1515" s="3"/>
      <c r="J1515" s="3"/>
      <c r="K1515" s="3"/>
      <c r="L1515" s="3"/>
      <c r="N1515" s="10"/>
      <c r="O1515" s="3"/>
      <c r="P1515" s="3"/>
      <c r="Q1515" s="3"/>
    </row>
    <row r="1516" spans="5:17" x14ac:dyDescent="0.25">
      <c r="E1516" s="2"/>
      <c r="G1516" s="3"/>
      <c r="H1516" s="3"/>
      <c r="I1516" s="3"/>
      <c r="J1516" s="3"/>
      <c r="K1516" s="3"/>
      <c r="L1516" s="3"/>
      <c r="N1516" s="10"/>
      <c r="O1516" s="3"/>
      <c r="P1516" s="3"/>
      <c r="Q1516" s="3"/>
    </row>
    <row r="1517" spans="5:17" x14ac:dyDescent="0.25">
      <c r="E1517" s="2"/>
      <c r="G1517" s="3"/>
      <c r="H1517" s="3"/>
      <c r="I1517" s="3"/>
      <c r="J1517" s="3"/>
      <c r="K1517" s="3"/>
      <c r="L1517" s="3"/>
      <c r="N1517" s="10"/>
      <c r="O1517" s="3"/>
      <c r="P1517" s="3"/>
      <c r="Q1517" s="3"/>
    </row>
    <row r="1518" spans="5:17" x14ac:dyDescent="0.25">
      <c r="E1518" s="2"/>
      <c r="G1518" s="3"/>
      <c r="H1518" s="3"/>
      <c r="I1518" s="3"/>
      <c r="J1518" s="3"/>
      <c r="K1518" s="3"/>
      <c r="L1518" s="3"/>
      <c r="N1518" s="10"/>
      <c r="O1518" s="3"/>
      <c r="P1518" s="3"/>
      <c r="Q1518" s="3"/>
    </row>
    <row r="1519" spans="5:17" x14ac:dyDescent="0.25">
      <c r="E1519" s="2"/>
      <c r="G1519" s="3"/>
      <c r="H1519" s="3"/>
      <c r="I1519" s="3"/>
      <c r="J1519" s="3"/>
      <c r="K1519" s="3"/>
      <c r="L1519" s="3"/>
      <c r="N1519" s="10"/>
      <c r="O1519" s="3"/>
      <c r="P1519" s="3"/>
      <c r="Q1519" s="3"/>
    </row>
    <row r="1520" spans="5:17" x14ac:dyDescent="0.25">
      <c r="E1520" s="2"/>
      <c r="G1520" s="3"/>
      <c r="H1520" s="3"/>
      <c r="I1520" s="3"/>
      <c r="J1520" s="3"/>
      <c r="K1520" s="3"/>
      <c r="L1520" s="3"/>
      <c r="N1520" s="10"/>
      <c r="O1520" s="3"/>
      <c r="P1520" s="3"/>
      <c r="Q1520" s="3"/>
    </row>
    <row r="1521" spans="5:17" x14ac:dyDescent="0.25">
      <c r="E1521" s="2"/>
      <c r="G1521" s="3"/>
      <c r="H1521" s="3"/>
      <c r="I1521" s="3"/>
      <c r="J1521" s="3"/>
      <c r="K1521" s="3"/>
      <c r="L1521" s="3"/>
      <c r="N1521" s="10"/>
      <c r="O1521" s="3"/>
      <c r="P1521" s="3"/>
      <c r="Q1521" s="3"/>
    </row>
    <row r="1522" spans="5:17" x14ac:dyDescent="0.25">
      <c r="E1522" s="2"/>
      <c r="G1522" s="3"/>
      <c r="H1522" s="3"/>
      <c r="I1522" s="3"/>
      <c r="J1522" s="3"/>
      <c r="K1522" s="3"/>
      <c r="L1522" s="3"/>
      <c r="N1522" s="10"/>
      <c r="O1522" s="3"/>
      <c r="P1522" s="3"/>
      <c r="Q1522" s="3"/>
    </row>
    <row r="1523" spans="5:17" x14ac:dyDescent="0.25">
      <c r="E1523" s="2"/>
      <c r="G1523" s="3"/>
      <c r="H1523" s="3"/>
      <c r="I1523" s="3"/>
      <c r="J1523" s="3"/>
      <c r="K1523" s="3"/>
      <c r="L1523" s="3"/>
      <c r="N1523" s="10"/>
      <c r="O1523" s="3"/>
      <c r="P1523" s="3"/>
      <c r="Q1523" s="3"/>
    </row>
    <row r="1524" spans="5:17" x14ac:dyDescent="0.25">
      <c r="E1524" s="2"/>
      <c r="G1524" s="3"/>
      <c r="H1524" s="3"/>
      <c r="I1524" s="3"/>
      <c r="J1524" s="3"/>
      <c r="K1524" s="3"/>
      <c r="L1524" s="3"/>
      <c r="N1524" s="10"/>
      <c r="O1524" s="3"/>
      <c r="P1524" s="3"/>
      <c r="Q1524" s="3"/>
    </row>
    <row r="1525" spans="5:17" x14ac:dyDescent="0.25">
      <c r="E1525" s="2"/>
      <c r="G1525" s="3"/>
      <c r="H1525" s="3"/>
      <c r="I1525" s="3"/>
      <c r="J1525" s="3"/>
      <c r="K1525" s="3"/>
      <c r="L1525" s="3"/>
      <c r="N1525" s="10"/>
      <c r="O1525" s="3"/>
      <c r="P1525" s="3"/>
      <c r="Q1525" s="3"/>
    </row>
    <row r="1526" spans="5:17" x14ac:dyDescent="0.25">
      <c r="E1526" s="2"/>
      <c r="G1526" s="3"/>
      <c r="H1526" s="3"/>
      <c r="I1526" s="3"/>
      <c r="J1526" s="3"/>
      <c r="K1526" s="3"/>
      <c r="L1526" s="3"/>
      <c r="N1526" s="10"/>
      <c r="O1526" s="3"/>
      <c r="P1526" s="3"/>
      <c r="Q1526" s="3"/>
    </row>
    <row r="1527" spans="5:17" x14ac:dyDescent="0.25">
      <c r="E1527" s="2"/>
      <c r="G1527" s="3"/>
      <c r="H1527" s="3"/>
      <c r="I1527" s="3"/>
      <c r="J1527" s="3"/>
      <c r="K1527" s="3"/>
      <c r="L1527" s="3"/>
      <c r="N1527" s="10"/>
      <c r="O1527" s="3"/>
      <c r="P1527" s="3"/>
      <c r="Q1527" s="3"/>
    </row>
    <row r="1528" spans="5:17" x14ac:dyDescent="0.25">
      <c r="E1528" s="2"/>
      <c r="G1528" s="3"/>
      <c r="H1528" s="3"/>
      <c r="I1528" s="3"/>
      <c r="J1528" s="3"/>
      <c r="K1528" s="3"/>
      <c r="L1528" s="3"/>
      <c r="N1528" s="10"/>
      <c r="O1528" s="3"/>
      <c r="P1528" s="3"/>
      <c r="Q1528" s="3"/>
    </row>
    <row r="1529" spans="5:17" x14ac:dyDescent="0.25">
      <c r="E1529" s="2"/>
      <c r="G1529" s="3"/>
      <c r="H1529" s="3"/>
      <c r="I1529" s="3"/>
      <c r="J1529" s="3"/>
      <c r="K1529" s="3"/>
      <c r="L1529" s="3"/>
      <c r="N1529" s="10"/>
      <c r="O1529" s="3"/>
      <c r="P1529" s="3"/>
      <c r="Q1529" s="3"/>
    </row>
    <row r="1530" spans="5:17" x14ac:dyDescent="0.25">
      <c r="E1530" s="2"/>
      <c r="G1530" s="3"/>
      <c r="H1530" s="3"/>
      <c r="I1530" s="3"/>
      <c r="J1530" s="3"/>
      <c r="K1530" s="3"/>
      <c r="L1530" s="3"/>
      <c r="N1530" s="10"/>
      <c r="O1530" s="3"/>
      <c r="P1530" s="3"/>
      <c r="Q1530" s="3"/>
    </row>
    <row r="1531" spans="5:17" x14ac:dyDescent="0.25">
      <c r="E1531" s="2"/>
      <c r="G1531" s="3"/>
      <c r="H1531" s="3"/>
      <c r="I1531" s="3"/>
      <c r="J1531" s="3"/>
      <c r="K1531" s="3"/>
      <c r="L1531" s="3"/>
      <c r="N1531" s="10"/>
      <c r="O1531" s="3"/>
      <c r="P1531" s="3"/>
      <c r="Q1531" s="3"/>
    </row>
    <row r="1532" spans="5:17" x14ac:dyDescent="0.25">
      <c r="E1532" s="2"/>
      <c r="G1532" s="3"/>
      <c r="H1532" s="3"/>
      <c r="I1532" s="3"/>
      <c r="J1532" s="3"/>
      <c r="K1532" s="3"/>
      <c r="L1532" s="3"/>
      <c r="N1532" s="10"/>
      <c r="O1532" s="3"/>
      <c r="P1532" s="3"/>
      <c r="Q1532" s="3"/>
    </row>
    <row r="1533" spans="5:17" x14ac:dyDescent="0.25">
      <c r="E1533" s="2"/>
      <c r="G1533" s="3"/>
      <c r="H1533" s="3"/>
      <c r="I1533" s="3"/>
      <c r="J1533" s="3"/>
      <c r="K1533" s="3"/>
      <c r="L1533" s="3"/>
      <c r="N1533" s="10"/>
      <c r="O1533" s="3"/>
      <c r="P1533" s="3"/>
      <c r="Q1533" s="3"/>
    </row>
    <row r="1534" spans="5:17" x14ac:dyDescent="0.25">
      <c r="E1534" s="2"/>
      <c r="G1534" s="3"/>
      <c r="H1534" s="3"/>
      <c r="I1534" s="3"/>
      <c r="J1534" s="3"/>
      <c r="K1534" s="3"/>
      <c r="L1534" s="3"/>
      <c r="N1534" s="10"/>
      <c r="O1534" s="3"/>
      <c r="P1534" s="3"/>
      <c r="Q1534" s="3"/>
    </row>
    <row r="1535" spans="5:17" x14ac:dyDescent="0.25">
      <c r="E1535" s="2"/>
      <c r="G1535" s="3"/>
      <c r="H1535" s="3"/>
      <c r="I1535" s="3"/>
      <c r="J1535" s="3"/>
      <c r="K1535" s="3"/>
      <c r="L1535" s="3"/>
      <c r="N1535" s="10"/>
      <c r="O1535" s="3"/>
      <c r="P1535" s="3"/>
      <c r="Q1535" s="3"/>
    </row>
    <row r="1536" spans="5:17" x14ac:dyDescent="0.25">
      <c r="E1536" s="2"/>
      <c r="G1536" s="3"/>
      <c r="H1536" s="3"/>
      <c r="I1536" s="3"/>
      <c r="J1536" s="3"/>
      <c r="K1536" s="3"/>
      <c r="L1536" s="3"/>
      <c r="N1536" s="10"/>
      <c r="O1536" s="3"/>
      <c r="P1536" s="3"/>
      <c r="Q1536" s="3"/>
    </row>
    <row r="1537" spans="5:17" x14ac:dyDescent="0.25">
      <c r="E1537" s="2"/>
      <c r="G1537" s="3"/>
      <c r="H1537" s="3"/>
      <c r="I1537" s="3"/>
      <c r="J1537" s="3"/>
      <c r="K1537" s="3"/>
      <c r="L1537" s="3"/>
      <c r="N1537" s="10"/>
      <c r="O1537" s="3"/>
      <c r="P1537" s="3"/>
      <c r="Q1537" s="3"/>
    </row>
    <row r="1538" spans="5:17" x14ac:dyDescent="0.25">
      <c r="E1538" s="2"/>
      <c r="G1538" s="3"/>
      <c r="H1538" s="3"/>
      <c r="I1538" s="3"/>
      <c r="J1538" s="3"/>
      <c r="K1538" s="3"/>
      <c r="L1538" s="3"/>
      <c r="N1538" s="10"/>
      <c r="O1538" s="3"/>
      <c r="P1538" s="3"/>
      <c r="Q1538" s="3"/>
    </row>
    <row r="1539" spans="5:17" x14ac:dyDescent="0.25">
      <c r="E1539" s="2"/>
      <c r="G1539" s="3"/>
      <c r="H1539" s="3"/>
      <c r="I1539" s="3"/>
      <c r="J1539" s="3"/>
      <c r="K1539" s="3"/>
      <c r="L1539" s="3"/>
      <c r="N1539" s="10"/>
      <c r="O1539" s="3"/>
      <c r="P1539" s="3"/>
      <c r="Q1539" s="3"/>
    </row>
    <row r="1540" spans="5:17" x14ac:dyDescent="0.25">
      <c r="E1540" s="2"/>
      <c r="G1540" s="3"/>
      <c r="H1540" s="3"/>
      <c r="I1540" s="3"/>
      <c r="J1540" s="3"/>
      <c r="K1540" s="3"/>
      <c r="L1540" s="3"/>
      <c r="N1540" s="10"/>
      <c r="O1540" s="3"/>
      <c r="P1540" s="3"/>
      <c r="Q1540" s="3"/>
    </row>
    <row r="1541" spans="5:17" x14ac:dyDescent="0.25">
      <c r="E1541" s="2"/>
      <c r="G1541" s="3"/>
      <c r="H1541" s="3"/>
      <c r="I1541" s="3"/>
      <c r="J1541" s="3"/>
      <c r="K1541" s="3"/>
      <c r="L1541" s="3"/>
      <c r="N1541" s="10"/>
      <c r="O1541" s="3"/>
      <c r="P1541" s="3"/>
      <c r="Q1541" s="3"/>
    </row>
    <row r="1542" spans="5:17" x14ac:dyDescent="0.25">
      <c r="E1542" s="2"/>
      <c r="G1542" s="3"/>
      <c r="H1542" s="3"/>
      <c r="I1542" s="3"/>
      <c r="J1542" s="3"/>
      <c r="K1542" s="3"/>
      <c r="L1542" s="3"/>
      <c r="N1542" s="10"/>
      <c r="O1542" s="3"/>
      <c r="P1542" s="3"/>
      <c r="Q1542" s="3"/>
    </row>
    <row r="1543" spans="5:17" x14ac:dyDescent="0.25">
      <c r="E1543" s="2"/>
      <c r="G1543" s="3"/>
      <c r="H1543" s="3"/>
      <c r="I1543" s="3"/>
      <c r="J1543" s="3"/>
      <c r="K1543" s="3"/>
      <c r="L1543" s="3"/>
      <c r="N1543" s="10"/>
      <c r="O1543" s="3"/>
      <c r="P1543" s="3"/>
      <c r="Q1543" s="3"/>
    </row>
    <row r="1544" spans="5:17" x14ac:dyDescent="0.25">
      <c r="E1544" s="2"/>
      <c r="G1544" s="3"/>
      <c r="H1544" s="3"/>
      <c r="I1544" s="3"/>
      <c r="J1544" s="3"/>
      <c r="K1544" s="3"/>
      <c r="L1544" s="3"/>
      <c r="N1544" s="10"/>
      <c r="O1544" s="3"/>
      <c r="P1544" s="3"/>
      <c r="Q1544" s="3"/>
    </row>
    <row r="1545" spans="5:17" x14ac:dyDescent="0.25">
      <c r="E1545" s="2"/>
      <c r="G1545" s="3"/>
      <c r="H1545" s="3"/>
      <c r="I1545" s="3"/>
      <c r="J1545" s="3"/>
      <c r="K1545" s="3"/>
      <c r="L1545" s="3"/>
      <c r="N1545" s="10"/>
      <c r="O1545" s="3"/>
      <c r="P1545" s="3"/>
      <c r="Q1545" s="3"/>
    </row>
    <row r="1546" spans="5:17" x14ac:dyDescent="0.25">
      <c r="E1546" s="2"/>
      <c r="G1546" s="3"/>
      <c r="H1546" s="3"/>
      <c r="I1546" s="3"/>
      <c r="J1546" s="3"/>
      <c r="K1546" s="3"/>
      <c r="L1546" s="3"/>
      <c r="N1546" s="10"/>
      <c r="O1546" s="3"/>
      <c r="P1546" s="3"/>
      <c r="Q1546" s="3"/>
    </row>
    <row r="1547" spans="5:17" x14ac:dyDescent="0.25">
      <c r="E1547" s="2"/>
      <c r="G1547" s="3"/>
      <c r="H1547" s="3"/>
      <c r="I1547" s="3"/>
      <c r="J1547" s="3"/>
      <c r="K1547" s="3"/>
      <c r="L1547" s="3"/>
      <c r="N1547" s="10"/>
      <c r="O1547" s="3"/>
      <c r="P1547" s="3"/>
      <c r="Q1547" s="3"/>
    </row>
    <row r="1548" spans="5:17" x14ac:dyDescent="0.25">
      <c r="E1548" s="2"/>
      <c r="G1548" s="3"/>
      <c r="H1548" s="3"/>
      <c r="I1548" s="3"/>
      <c r="J1548" s="3"/>
      <c r="K1548" s="3"/>
      <c r="L1548" s="3"/>
      <c r="N1548" s="10"/>
      <c r="O1548" s="3"/>
      <c r="P1548" s="3"/>
      <c r="Q1548" s="3"/>
    </row>
    <row r="1549" spans="5:17" x14ac:dyDescent="0.25">
      <c r="E1549" s="2"/>
      <c r="G1549" s="3"/>
      <c r="H1549" s="3"/>
      <c r="I1549" s="3"/>
      <c r="J1549" s="3"/>
      <c r="K1549" s="3"/>
      <c r="L1549" s="3"/>
      <c r="N1549" s="10"/>
      <c r="O1549" s="3"/>
      <c r="P1549" s="3"/>
      <c r="Q1549" s="3"/>
    </row>
    <row r="1550" spans="5:17" x14ac:dyDescent="0.25">
      <c r="E1550" s="2"/>
      <c r="G1550" s="3"/>
      <c r="H1550" s="3"/>
      <c r="I1550" s="3"/>
      <c r="J1550" s="3"/>
      <c r="K1550" s="3"/>
      <c r="L1550" s="3"/>
      <c r="N1550" s="10"/>
      <c r="O1550" s="3"/>
      <c r="P1550" s="3"/>
      <c r="Q1550" s="3"/>
    </row>
    <row r="1551" spans="5:17" x14ac:dyDescent="0.25">
      <c r="E1551" s="2"/>
      <c r="G1551" s="3"/>
      <c r="H1551" s="3"/>
      <c r="I1551" s="3"/>
      <c r="J1551" s="3"/>
      <c r="K1551" s="3"/>
      <c r="L1551" s="3"/>
      <c r="N1551" s="10"/>
      <c r="O1551" s="3"/>
      <c r="P1551" s="3"/>
      <c r="Q1551" s="3"/>
    </row>
    <row r="1552" spans="5:17" x14ac:dyDescent="0.25">
      <c r="E1552" s="2"/>
      <c r="G1552" s="3"/>
      <c r="H1552" s="3"/>
      <c r="I1552" s="3"/>
      <c r="J1552" s="3"/>
      <c r="K1552" s="3"/>
      <c r="L1552" s="3"/>
      <c r="N1552" s="10"/>
      <c r="O1552" s="3"/>
      <c r="P1552" s="3"/>
      <c r="Q1552" s="3"/>
    </row>
    <row r="1553" spans="5:17" x14ac:dyDescent="0.25">
      <c r="E1553" s="2"/>
      <c r="G1553" s="3"/>
      <c r="H1553" s="3"/>
      <c r="I1553" s="3"/>
      <c r="J1553" s="3"/>
      <c r="K1553" s="3"/>
      <c r="L1553" s="3"/>
      <c r="N1553" s="10"/>
      <c r="O1553" s="3"/>
      <c r="P1553" s="3"/>
      <c r="Q1553" s="3"/>
    </row>
    <row r="1554" spans="5:17" x14ac:dyDescent="0.25">
      <c r="E1554" s="2"/>
      <c r="G1554" s="3"/>
      <c r="H1554" s="3"/>
      <c r="I1554" s="3"/>
      <c r="J1554" s="3"/>
      <c r="K1554" s="3"/>
      <c r="L1554" s="3"/>
      <c r="N1554" s="10"/>
      <c r="O1554" s="3"/>
      <c r="P1554" s="3"/>
      <c r="Q1554" s="3"/>
    </row>
    <row r="1555" spans="5:17" x14ac:dyDescent="0.25">
      <c r="E1555" s="2"/>
      <c r="G1555" s="3"/>
      <c r="H1555" s="3"/>
      <c r="I1555" s="3"/>
      <c r="J1555" s="3"/>
      <c r="K1555" s="3"/>
      <c r="L1555" s="3"/>
      <c r="N1555" s="10"/>
      <c r="O1555" s="3"/>
      <c r="P1555" s="3"/>
      <c r="Q1555" s="3"/>
    </row>
    <row r="1556" spans="5:17" x14ac:dyDescent="0.25">
      <c r="E1556" s="2"/>
      <c r="G1556" s="3"/>
      <c r="H1556" s="3"/>
      <c r="I1556" s="3"/>
      <c r="J1556" s="3"/>
      <c r="K1556" s="3"/>
      <c r="L1556" s="3"/>
      <c r="N1556" s="10"/>
      <c r="O1556" s="3"/>
      <c r="P1556" s="3"/>
      <c r="Q1556" s="3"/>
    </row>
    <row r="1557" spans="5:17" x14ac:dyDescent="0.25">
      <c r="E1557" s="2"/>
      <c r="G1557" s="3"/>
      <c r="H1557" s="3"/>
      <c r="I1557" s="3"/>
      <c r="J1557" s="3"/>
      <c r="K1557" s="3"/>
      <c r="L1557" s="3"/>
      <c r="N1557" s="10"/>
      <c r="O1557" s="3"/>
      <c r="P1557" s="3"/>
      <c r="Q1557" s="3"/>
    </row>
    <row r="1558" spans="5:17" x14ac:dyDescent="0.25">
      <c r="E1558" s="2"/>
      <c r="G1558" s="3"/>
      <c r="H1558" s="3"/>
      <c r="I1558" s="3"/>
      <c r="J1558" s="3"/>
      <c r="K1558" s="3"/>
      <c r="L1558" s="3"/>
      <c r="N1558" s="10"/>
      <c r="O1558" s="3"/>
      <c r="P1558" s="3"/>
      <c r="Q1558" s="3"/>
    </row>
    <row r="1559" spans="5:17" x14ac:dyDescent="0.25">
      <c r="E1559" s="2"/>
      <c r="G1559" s="3"/>
      <c r="H1559" s="3"/>
      <c r="I1559" s="3"/>
      <c r="J1559" s="3"/>
      <c r="K1559" s="3"/>
      <c r="L1559" s="3"/>
      <c r="N1559" s="10"/>
      <c r="O1559" s="3"/>
      <c r="P1559" s="3"/>
      <c r="Q1559" s="3"/>
    </row>
    <row r="1560" spans="5:17" x14ac:dyDescent="0.25">
      <c r="E1560" s="2"/>
      <c r="G1560" s="3"/>
      <c r="H1560" s="3"/>
      <c r="I1560" s="3"/>
      <c r="J1560" s="3"/>
      <c r="K1560" s="3"/>
      <c r="L1560" s="3"/>
      <c r="N1560" s="10"/>
      <c r="O1560" s="3"/>
      <c r="P1560" s="3"/>
      <c r="Q1560" s="3"/>
    </row>
    <row r="1561" spans="5:17" x14ac:dyDescent="0.25">
      <c r="E1561" s="2"/>
      <c r="G1561" s="3"/>
      <c r="H1561" s="3"/>
      <c r="I1561" s="3"/>
      <c r="J1561" s="3"/>
      <c r="K1561" s="3"/>
      <c r="L1561" s="3"/>
      <c r="N1561" s="10"/>
      <c r="O1561" s="3"/>
      <c r="P1561" s="3"/>
      <c r="Q1561" s="3"/>
    </row>
    <row r="1562" spans="5:17" x14ac:dyDescent="0.25">
      <c r="E1562" s="2"/>
      <c r="G1562" s="3"/>
      <c r="H1562" s="3"/>
      <c r="I1562" s="3"/>
      <c r="J1562" s="3"/>
      <c r="K1562" s="3"/>
      <c r="L1562" s="3"/>
      <c r="N1562" s="10"/>
      <c r="O1562" s="3"/>
      <c r="P1562" s="3"/>
      <c r="Q1562" s="3"/>
    </row>
    <row r="1563" spans="5:17" x14ac:dyDescent="0.25">
      <c r="E1563" s="2"/>
      <c r="G1563" s="3"/>
      <c r="H1563" s="3"/>
      <c r="I1563" s="3"/>
      <c r="J1563" s="3"/>
      <c r="K1563" s="3"/>
      <c r="L1563" s="3"/>
      <c r="N1563" s="10"/>
      <c r="O1563" s="3"/>
      <c r="P1563" s="3"/>
      <c r="Q1563" s="3"/>
    </row>
    <row r="1564" spans="5:17" x14ac:dyDescent="0.25">
      <c r="E1564" s="2"/>
      <c r="G1564" s="3"/>
      <c r="H1564" s="3"/>
      <c r="I1564" s="3"/>
      <c r="J1564" s="3"/>
      <c r="K1564" s="3"/>
      <c r="L1564" s="3"/>
      <c r="N1564" s="10"/>
      <c r="O1564" s="3"/>
      <c r="P1564" s="3"/>
      <c r="Q1564" s="3"/>
    </row>
    <row r="1565" spans="5:17" x14ac:dyDescent="0.25">
      <c r="E1565" s="2"/>
      <c r="G1565" s="3"/>
      <c r="H1565" s="3"/>
      <c r="I1565" s="3"/>
      <c r="J1565" s="3"/>
      <c r="K1565" s="3"/>
      <c r="L1565" s="3"/>
      <c r="N1565" s="10"/>
      <c r="O1565" s="3"/>
      <c r="P1565" s="3"/>
      <c r="Q1565" s="3"/>
    </row>
    <row r="1566" spans="5:17" x14ac:dyDescent="0.25">
      <c r="E1566" s="2"/>
      <c r="G1566" s="3"/>
      <c r="H1566" s="3"/>
      <c r="I1566" s="3"/>
      <c r="J1566" s="3"/>
      <c r="K1566" s="3"/>
      <c r="L1566" s="3"/>
      <c r="N1566" s="10"/>
      <c r="O1566" s="3"/>
      <c r="P1566" s="3"/>
      <c r="Q1566" s="3"/>
    </row>
    <row r="1567" spans="5:17" x14ac:dyDescent="0.25">
      <c r="E1567" s="2"/>
      <c r="G1567" s="3"/>
      <c r="H1567" s="3"/>
      <c r="I1567" s="3"/>
      <c r="J1567" s="3"/>
      <c r="K1567" s="3"/>
      <c r="L1567" s="3"/>
      <c r="N1567" s="10"/>
      <c r="O1567" s="3"/>
      <c r="P1567" s="3"/>
      <c r="Q1567" s="3"/>
    </row>
    <row r="1568" spans="5:17" x14ac:dyDescent="0.25">
      <c r="E1568" s="2"/>
      <c r="G1568" s="3"/>
      <c r="H1568" s="3"/>
      <c r="I1568" s="3"/>
      <c r="J1568" s="3"/>
      <c r="K1568" s="3"/>
      <c r="L1568" s="3"/>
      <c r="N1568" s="10"/>
      <c r="O1568" s="3"/>
      <c r="P1568" s="3"/>
      <c r="Q1568" s="3"/>
    </row>
    <row r="1569" spans="5:17" x14ac:dyDescent="0.25">
      <c r="E1569" s="2"/>
      <c r="G1569" s="3"/>
      <c r="H1569" s="3"/>
      <c r="I1569" s="3"/>
      <c r="J1569" s="3"/>
      <c r="K1569" s="3"/>
      <c r="L1569" s="3"/>
      <c r="N1569" s="10"/>
      <c r="O1569" s="3"/>
      <c r="P1569" s="3"/>
      <c r="Q1569" s="3"/>
    </row>
    <row r="1570" spans="5:17" x14ac:dyDescent="0.25">
      <c r="E1570" s="2"/>
      <c r="G1570" s="3"/>
      <c r="H1570" s="3"/>
      <c r="I1570" s="3"/>
      <c r="J1570" s="3"/>
      <c r="K1570" s="3"/>
      <c r="L1570" s="3"/>
      <c r="N1570" s="10"/>
      <c r="O1570" s="3"/>
      <c r="P1570" s="3"/>
      <c r="Q1570" s="3"/>
    </row>
    <row r="1571" spans="5:17" x14ac:dyDescent="0.25">
      <c r="E1571" s="2"/>
      <c r="G1571" s="3"/>
      <c r="H1571" s="3"/>
      <c r="I1571" s="3"/>
      <c r="J1571" s="3"/>
      <c r="K1571" s="3"/>
      <c r="L1571" s="3"/>
      <c r="N1571" s="10"/>
      <c r="O1571" s="3"/>
      <c r="P1571" s="3"/>
      <c r="Q1571" s="3"/>
    </row>
    <row r="1572" spans="5:17" x14ac:dyDescent="0.25">
      <c r="E1572" s="2"/>
      <c r="G1572" s="3"/>
      <c r="H1572" s="3"/>
      <c r="I1572" s="3"/>
      <c r="J1572" s="3"/>
      <c r="K1572" s="3"/>
      <c r="L1572" s="3"/>
      <c r="N1572" s="10"/>
      <c r="O1572" s="3"/>
      <c r="P1572" s="3"/>
      <c r="Q1572" s="3"/>
    </row>
    <row r="1573" spans="5:17" x14ac:dyDescent="0.25">
      <c r="E1573" s="2"/>
      <c r="G1573" s="3"/>
      <c r="H1573" s="3"/>
      <c r="I1573" s="3"/>
      <c r="J1573" s="3"/>
      <c r="K1573" s="3"/>
      <c r="L1573" s="3"/>
      <c r="N1573" s="10"/>
      <c r="O1573" s="3"/>
      <c r="P1573" s="3"/>
      <c r="Q1573" s="3"/>
    </row>
    <row r="1574" spans="5:17" x14ac:dyDescent="0.25">
      <c r="E1574" s="2"/>
      <c r="G1574" s="3"/>
      <c r="H1574" s="3"/>
      <c r="I1574" s="3"/>
      <c r="J1574" s="3"/>
      <c r="K1574" s="3"/>
      <c r="L1574" s="3"/>
      <c r="N1574" s="10"/>
      <c r="O1574" s="3"/>
      <c r="P1574" s="3"/>
      <c r="Q1574" s="3"/>
    </row>
    <row r="1575" spans="5:17" x14ac:dyDescent="0.25">
      <c r="E1575" s="2"/>
      <c r="G1575" s="3"/>
      <c r="H1575" s="3"/>
      <c r="I1575" s="3"/>
      <c r="J1575" s="3"/>
      <c r="K1575" s="3"/>
      <c r="L1575" s="3"/>
      <c r="N1575" s="10"/>
      <c r="O1575" s="3"/>
      <c r="P1575" s="3"/>
      <c r="Q1575" s="3"/>
    </row>
    <row r="1576" spans="5:17" x14ac:dyDescent="0.25">
      <c r="E1576" s="2"/>
      <c r="G1576" s="3"/>
      <c r="H1576" s="3"/>
      <c r="I1576" s="3"/>
      <c r="J1576" s="3"/>
      <c r="K1576" s="3"/>
      <c r="L1576" s="3"/>
      <c r="N1576" s="10"/>
      <c r="O1576" s="3"/>
      <c r="P1576" s="3"/>
      <c r="Q1576" s="3"/>
    </row>
    <row r="1577" spans="5:17" x14ac:dyDescent="0.25">
      <c r="E1577" s="2"/>
      <c r="G1577" s="3"/>
      <c r="H1577" s="3"/>
      <c r="I1577" s="3"/>
      <c r="J1577" s="3"/>
      <c r="K1577" s="3"/>
      <c r="L1577" s="3"/>
      <c r="N1577" s="10"/>
      <c r="O1577" s="3"/>
      <c r="P1577" s="3"/>
      <c r="Q1577" s="3"/>
    </row>
    <row r="1578" spans="5:17" x14ac:dyDescent="0.25">
      <c r="E1578" s="2"/>
      <c r="G1578" s="3"/>
      <c r="H1578" s="3"/>
      <c r="I1578" s="3"/>
      <c r="J1578" s="3"/>
      <c r="K1578" s="3"/>
      <c r="L1578" s="3"/>
      <c r="N1578" s="10"/>
      <c r="O1578" s="3"/>
      <c r="P1578" s="3"/>
      <c r="Q1578" s="3"/>
    </row>
    <row r="1579" spans="5:17" x14ac:dyDescent="0.25">
      <c r="E1579" s="2"/>
      <c r="G1579" s="3"/>
      <c r="H1579" s="3"/>
      <c r="I1579" s="3"/>
      <c r="J1579" s="3"/>
      <c r="K1579" s="3"/>
      <c r="L1579" s="3"/>
      <c r="N1579" s="10"/>
      <c r="O1579" s="3"/>
      <c r="P1579" s="3"/>
      <c r="Q1579" s="3"/>
    </row>
    <row r="1580" spans="5:17" x14ac:dyDescent="0.25">
      <c r="E1580" s="2"/>
      <c r="G1580" s="3"/>
      <c r="H1580" s="3"/>
      <c r="I1580" s="3"/>
      <c r="J1580" s="3"/>
      <c r="K1580" s="3"/>
      <c r="L1580" s="3"/>
      <c r="N1580" s="10"/>
      <c r="O1580" s="3"/>
      <c r="P1580" s="3"/>
      <c r="Q1580" s="3"/>
    </row>
    <row r="1581" spans="5:17" x14ac:dyDescent="0.25">
      <c r="E1581" s="2"/>
      <c r="G1581" s="3"/>
      <c r="H1581" s="3"/>
      <c r="I1581" s="3"/>
      <c r="J1581" s="3"/>
      <c r="K1581" s="3"/>
      <c r="L1581" s="3"/>
      <c r="N1581" s="10"/>
      <c r="O1581" s="3"/>
      <c r="P1581" s="3"/>
      <c r="Q1581" s="3"/>
    </row>
    <row r="1582" spans="5:17" x14ac:dyDescent="0.25">
      <c r="E1582" s="2"/>
      <c r="G1582" s="3"/>
      <c r="H1582" s="3"/>
      <c r="I1582" s="3"/>
      <c r="J1582" s="3"/>
      <c r="K1582" s="3"/>
      <c r="L1582" s="3"/>
      <c r="N1582" s="10"/>
      <c r="O1582" s="3"/>
      <c r="P1582" s="3"/>
      <c r="Q1582" s="3"/>
    </row>
    <row r="1583" spans="5:17" x14ac:dyDescent="0.25">
      <c r="E1583" s="2"/>
      <c r="G1583" s="3"/>
      <c r="H1583" s="3"/>
      <c r="I1583" s="3"/>
      <c r="J1583" s="3"/>
      <c r="K1583" s="3"/>
      <c r="L1583" s="3"/>
      <c r="N1583" s="10"/>
      <c r="O1583" s="3"/>
      <c r="P1583" s="3"/>
      <c r="Q1583" s="3"/>
    </row>
    <row r="1584" spans="5:17" x14ac:dyDescent="0.25">
      <c r="E1584" s="2"/>
      <c r="G1584" s="3"/>
      <c r="H1584" s="3"/>
      <c r="I1584" s="3"/>
      <c r="J1584" s="3"/>
      <c r="K1584" s="3"/>
      <c r="L1584" s="3"/>
      <c r="N1584" s="10"/>
      <c r="O1584" s="3"/>
      <c r="P1584" s="3"/>
      <c r="Q1584" s="3"/>
    </row>
    <row r="1585" spans="5:17" x14ac:dyDescent="0.25">
      <c r="E1585" s="2"/>
      <c r="G1585" s="3"/>
      <c r="H1585" s="3"/>
      <c r="I1585" s="3"/>
      <c r="J1585" s="3"/>
      <c r="K1585" s="3"/>
      <c r="L1585" s="3"/>
      <c r="N1585" s="10"/>
      <c r="O1585" s="3"/>
      <c r="P1585" s="3"/>
      <c r="Q1585" s="3"/>
    </row>
    <row r="1586" spans="5:17" x14ac:dyDescent="0.25">
      <c r="E1586" s="2"/>
      <c r="G1586" s="3"/>
      <c r="H1586" s="3"/>
      <c r="I1586" s="3"/>
      <c r="J1586" s="3"/>
      <c r="K1586" s="3"/>
      <c r="L1586" s="3"/>
      <c r="N1586" s="10"/>
      <c r="O1586" s="3"/>
      <c r="P1586" s="3"/>
      <c r="Q1586" s="3"/>
    </row>
    <row r="1587" spans="5:17" x14ac:dyDescent="0.25">
      <c r="E1587" s="2"/>
      <c r="G1587" s="3"/>
      <c r="H1587" s="3"/>
      <c r="I1587" s="3"/>
      <c r="J1587" s="3"/>
      <c r="K1587" s="3"/>
      <c r="L1587" s="3"/>
      <c r="N1587" s="10"/>
      <c r="O1587" s="3"/>
      <c r="P1587" s="3"/>
      <c r="Q1587" s="3"/>
    </row>
    <row r="1588" spans="5:17" x14ac:dyDescent="0.25">
      <c r="E1588" s="2"/>
      <c r="G1588" s="3"/>
      <c r="H1588" s="3"/>
      <c r="I1588" s="3"/>
      <c r="J1588" s="3"/>
      <c r="K1588" s="3"/>
      <c r="L1588" s="3"/>
      <c r="N1588" s="10"/>
      <c r="O1588" s="3"/>
      <c r="P1588" s="3"/>
      <c r="Q1588" s="3"/>
    </row>
    <row r="1589" spans="5:17" x14ac:dyDescent="0.25">
      <c r="E1589" s="2"/>
      <c r="G1589" s="3"/>
      <c r="H1589" s="3"/>
      <c r="I1589" s="3"/>
      <c r="J1589" s="3"/>
      <c r="K1589" s="3"/>
      <c r="L1589" s="3"/>
      <c r="N1589" s="10"/>
      <c r="O1589" s="3"/>
      <c r="P1589" s="3"/>
      <c r="Q1589" s="3"/>
    </row>
    <row r="1590" spans="5:17" x14ac:dyDescent="0.25">
      <c r="E1590" s="2"/>
      <c r="G1590" s="3"/>
      <c r="H1590" s="3"/>
      <c r="I1590" s="3"/>
      <c r="J1590" s="3"/>
      <c r="K1590" s="3"/>
      <c r="L1590" s="3"/>
      <c r="N1590" s="10"/>
      <c r="O1590" s="3"/>
      <c r="P1590" s="3"/>
      <c r="Q1590" s="3"/>
    </row>
    <row r="1591" spans="5:17" x14ac:dyDescent="0.25">
      <c r="E1591" s="2"/>
      <c r="G1591" s="3"/>
      <c r="H1591" s="3"/>
      <c r="I1591" s="3"/>
      <c r="J1591" s="3"/>
      <c r="K1591" s="3"/>
      <c r="L1591" s="3"/>
      <c r="N1591" s="10"/>
      <c r="O1591" s="3"/>
      <c r="P1591" s="3"/>
      <c r="Q1591" s="3"/>
    </row>
    <row r="1592" spans="5:17" x14ac:dyDescent="0.25">
      <c r="E1592" s="2"/>
      <c r="G1592" s="3"/>
      <c r="H1592" s="3"/>
      <c r="I1592" s="3"/>
      <c r="J1592" s="3"/>
      <c r="K1592" s="3"/>
      <c r="L1592" s="3"/>
      <c r="N1592" s="10"/>
      <c r="O1592" s="3"/>
      <c r="P1592" s="3"/>
      <c r="Q1592" s="3"/>
    </row>
    <row r="1593" spans="5:17" x14ac:dyDescent="0.25">
      <c r="E1593" s="2"/>
      <c r="G1593" s="3"/>
      <c r="H1593" s="3"/>
      <c r="I1593" s="3"/>
      <c r="J1593" s="3"/>
      <c r="K1593" s="3"/>
      <c r="L1593" s="3"/>
      <c r="N1593" s="10"/>
      <c r="O1593" s="3"/>
      <c r="P1593" s="3"/>
      <c r="Q1593" s="3"/>
    </row>
    <row r="1594" spans="5:17" x14ac:dyDescent="0.25">
      <c r="E1594" s="2"/>
      <c r="G1594" s="3"/>
      <c r="H1594" s="3"/>
      <c r="I1594" s="3"/>
      <c r="J1594" s="3"/>
      <c r="K1594" s="3"/>
      <c r="L1594" s="3"/>
      <c r="N1594" s="10"/>
      <c r="O1594" s="3"/>
      <c r="P1594" s="3"/>
      <c r="Q1594" s="3"/>
    </row>
    <row r="1595" spans="5:17" x14ac:dyDescent="0.25">
      <c r="E1595" s="2"/>
      <c r="G1595" s="3"/>
      <c r="H1595" s="3"/>
      <c r="I1595" s="3"/>
      <c r="J1595" s="3"/>
      <c r="K1595" s="3"/>
      <c r="L1595" s="3"/>
      <c r="N1595" s="10"/>
      <c r="O1595" s="3"/>
      <c r="P1595" s="3"/>
      <c r="Q1595" s="3"/>
    </row>
    <row r="1596" spans="5:17" x14ac:dyDescent="0.25">
      <c r="E1596" s="2"/>
      <c r="G1596" s="3"/>
      <c r="H1596" s="3"/>
      <c r="I1596" s="3"/>
      <c r="J1596" s="3"/>
      <c r="K1596" s="3"/>
      <c r="L1596" s="3"/>
      <c r="N1596" s="10"/>
      <c r="O1596" s="3"/>
      <c r="P1596" s="3"/>
      <c r="Q1596" s="3"/>
    </row>
    <row r="1597" spans="5:17" x14ac:dyDescent="0.25">
      <c r="E1597" s="2"/>
      <c r="G1597" s="3"/>
      <c r="H1597" s="3"/>
      <c r="I1597" s="3"/>
      <c r="J1597" s="3"/>
      <c r="K1597" s="3"/>
      <c r="L1597" s="3"/>
      <c r="N1597" s="10"/>
      <c r="O1597" s="3"/>
      <c r="P1597" s="3"/>
      <c r="Q1597" s="3"/>
    </row>
    <row r="1598" spans="5:17" x14ac:dyDescent="0.25">
      <c r="E1598" s="2"/>
      <c r="G1598" s="3"/>
      <c r="H1598" s="3"/>
      <c r="I1598" s="3"/>
      <c r="J1598" s="3"/>
      <c r="K1598" s="3"/>
      <c r="L1598" s="3"/>
      <c r="N1598" s="10"/>
      <c r="O1598" s="3"/>
      <c r="P1598" s="3"/>
      <c r="Q1598" s="3"/>
    </row>
    <row r="1599" spans="5:17" x14ac:dyDescent="0.25">
      <c r="E1599" s="2"/>
      <c r="G1599" s="3"/>
      <c r="H1599" s="3"/>
      <c r="I1599" s="3"/>
      <c r="J1599" s="3"/>
      <c r="K1599" s="3"/>
      <c r="L1599" s="3"/>
      <c r="N1599" s="10"/>
      <c r="O1599" s="3"/>
      <c r="P1599" s="3"/>
      <c r="Q1599" s="3"/>
    </row>
    <row r="1600" spans="5:17" x14ac:dyDescent="0.25">
      <c r="E1600" s="2"/>
      <c r="G1600" s="3"/>
      <c r="H1600" s="3"/>
      <c r="I1600" s="3"/>
      <c r="J1600" s="3"/>
      <c r="K1600" s="3"/>
      <c r="L1600" s="3"/>
      <c r="N1600" s="10"/>
      <c r="O1600" s="3"/>
      <c r="P1600" s="3"/>
      <c r="Q1600" s="3"/>
    </row>
    <row r="1601" spans="5:17" x14ac:dyDescent="0.25">
      <c r="E1601" s="2"/>
      <c r="G1601" s="3"/>
      <c r="H1601" s="3"/>
      <c r="I1601" s="3"/>
      <c r="J1601" s="3"/>
      <c r="K1601" s="3"/>
      <c r="L1601" s="3"/>
      <c r="N1601" s="10"/>
      <c r="O1601" s="3"/>
      <c r="P1601" s="3"/>
      <c r="Q1601" s="3"/>
    </row>
    <row r="1602" spans="5:17" x14ac:dyDescent="0.25">
      <c r="E1602" s="2"/>
      <c r="G1602" s="3"/>
      <c r="H1602" s="3"/>
      <c r="I1602" s="3"/>
      <c r="J1602" s="3"/>
      <c r="K1602" s="3"/>
      <c r="L1602" s="3"/>
      <c r="N1602" s="10"/>
      <c r="O1602" s="3"/>
      <c r="P1602" s="3"/>
      <c r="Q1602" s="3"/>
    </row>
    <row r="1603" spans="5:17" x14ac:dyDescent="0.25">
      <c r="E1603" s="2"/>
      <c r="G1603" s="3"/>
      <c r="H1603" s="3"/>
      <c r="I1603" s="3"/>
      <c r="J1603" s="3"/>
      <c r="K1603" s="3"/>
      <c r="L1603" s="3"/>
      <c r="N1603" s="10"/>
      <c r="O1603" s="3"/>
      <c r="P1603" s="3"/>
      <c r="Q1603" s="3"/>
    </row>
    <row r="1604" spans="5:17" x14ac:dyDescent="0.25">
      <c r="E1604" s="2"/>
      <c r="G1604" s="3"/>
      <c r="H1604" s="3"/>
      <c r="I1604" s="3"/>
      <c r="J1604" s="3"/>
      <c r="K1604" s="3"/>
      <c r="L1604" s="3"/>
      <c r="N1604" s="10"/>
      <c r="O1604" s="3"/>
      <c r="P1604" s="3"/>
      <c r="Q1604" s="3"/>
    </row>
    <row r="1605" spans="5:17" x14ac:dyDescent="0.25">
      <c r="E1605" s="2"/>
      <c r="G1605" s="3"/>
      <c r="H1605" s="3"/>
      <c r="I1605" s="3"/>
      <c r="J1605" s="3"/>
      <c r="K1605" s="3"/>
      <c r="L1605" s="3"/>
      <c r="N1605" s="10"/>
      <c r="O1605" s="3"/>
      <c r="P1605" s="3"/>
      <c r="Q1605" s="3"/>
    </row>
    <row r="1606" spans="5:17" x14ac:dyDescent="0.25">
      <c r="E1606" s="2"/>
      <c r="G1606" s="3"/>
      <c r="H1606" s="3"/>
      <c r="I1606" s="3"/>
      <c r="J1606" s="3"/>
      <c r="K1606" s="3"/>
      <c r="L1606" s="3"/>
      <c r="N1606" s="10"/>
      <c r="O1606" s="3"/>
      <c r="P1606" s="3"/>
      <c r="Q1606" s="3"/>
    </row>
    <row r="1607" spans="5:17" x14ac:dyDescent="0.25">
      <c r="E1607" s="2"/>
      <c r="G1607" s="3"/>
      <c r="H1607" s="3"/>
      <c r="I1607" s="3"/>
      <c r="J1607" s="3"/>
      <c r="K1607" s="3"/>
      <c r="L1607" s="3"/>
      <c r="N1607" s="10"/>
      <c r="O1607" s="3"/>
      <c r="P1607" s="3"/>
      <c r="Q1607" s="3"/>
    </row>
    <row r="1608" spans="5:17" x14ac:dyDescent="0.25">
      <c r="E1608" s="2"/>
      <c r="G1608" s="3"/>
      <c r="H1608" s="3"/>
      <c r="I1608" s="3"/>
      <c r="J1608" s="3"/>
      <c r="K1608" s="3"/>
      <c r="L1608" s="3"/>
      <c r="N1608" s="10"/>
      <c r="O1608" s="3"/>
      <c r="P1608" s="3"/>
      <c r="Q1608" s="3"/>
    </row>
    <row r="1609" spans="5:17" x14ac:dyDescent="0.25">
      <c r="E1609" s="2"/>
      <c r="G1609" s="3"/>
      <c r="H1609" s="3"/>
      <c r="I1609" s="3"/>
      <c r="J1609" s="3"/>
      <c r="K1609" s="3"/>
      <c r="L1609" s="3"/>
      <c r="N1609" s="10"/>
      <c r="O1609" s="3"/>
      <c r="P1609" s="3"/>
      <c r="Q1609" s="3"/>
    </row>
    <row r="1610" spans="5:17" x14ac:dyDescent="0.25">
      <c r="E1610" s="2"/>
      <c r="G1610" s="3"/>
      <c r="H1610" s="3"/>
      <c r="I1610" s="3"/>
      <c r="J1610" s="3"/>
      <c r="K1610" s="3"/>
      <c r="L1610" s="3"/>
      <c r="N1610" s="10"/>
      <c r="O1610" s="3"/>
      <c r="P1610" s="3"/>
      <c r="Q1610" s="3"/>
    </row>
    <row r="1611" spans="5:17" x14ac:dyDescent="0.25">
      <c r="E1611" s="2"/>
      <c r="G1611" s="3"/>
      <c r="H1611" s="3"/>
      <c r="I1611" s="3"/>
      <c r="J1611" s="3"/>
      <c r="K1611" s="3"/>
      <c r="L1611" s="3"/>
      <c r="N1611" s="10"/>
      <c r="O1611" s="3"/>
      <c r="P1611" s="3"/>
      <c r="Q1611" s="3"/>
    </row>
    <row r="1612" spans="5:17" x14ac:dyDescent="0.25">
      <c r="E1612" s="2"/>
      <c r="G1612" s="3"/>
      <c r="H1612" s="3"/>
      <c r="I1612" s="3"/>
      <c r="J1612" s="3"/>
      <c r="K1612" s="3"/>
      <c r="L1612" s="3"/>
      <c r="N1612" s="10"/>
      <c r="O1612" s="3"/>
      <c r="P1612" s="3"/>
      <c r="Q1612" s="3"/>
    </row>
    <row r="1613" spans="5:17" x14ac:dyDescent="0.25">
      <c r="E1613" s="2"/>
      <c r="G1613" s="3"/>
      <c r="H1613" s="3"/>
      <c r="I1613" s="3"/>
      <c r="J1613" s="3"/>
      <c r="K1613" s="3"/>
      <c r="L1613" s="3"/>
      <c r="N1613" s="10"/>
      <c r="O1613" s="3"/>
      <c r="P1613" s="3"/>
      <c r="Q1613" s="3"/>
    </row>
    <row r="1614" spans="5:17" x14ac:dyDescent="0.25">
      <c r="E1614" s="2"/>
      <c r="G1614" s="3"/>
      <c r="H1614" s="3"/>
      <c r="I1614" s="3"/>
      <c r="J1614" s="3"/>
      <c r="K1614" s="3"/>
      <c r="L1614" s="3"/>
      <c r="N1614" s="10"/>
      <c r="O1614" s="3"/>
      <c r="P1614" s="3"/>
      <c r="Q1614" s="3"/>
    </row>
    <row r="1615" spans="5:17" x14ac:dyDescent="0.25">
      <c r="E1615" s="2"/>
      <c r="G1615" s="3"/>
      <c r="H1615" s="3"/>
      <c r="I1615" s="3"/>
      <c r="J1615" s="3"/>
      <c r="K1615" s="3"/>
      <c r="L1615" s="3"/>
      <c r="N1615" s="10"/>
      <c r="O1615" s="3"/>
      <c r="P1615" s="3"/>
      <c r="Q1615" s="3"/>
    </row>
    <row r="1616" spans="5:17" x14ac:dyDescent="0.25">
      <c r="E1616" s="2"/>
      <c r="G1616" s="3"/>
      <c r="H1616" s="3"/>
      <c r="I1616" s="3"/>
      <c r="J1616" s="3"/>
      <c r="K1616" s="3"/>
      <c r="L1616" s="3"/>
      <c r="N1616" s="10"/>
      <c r="O1616" s="3"/>
      <c r="P1616" s="3"/>
      <c r="Q1616" s="3"/>
    </row>
    <row r="1617" spans="5:17" x14ac:dyDescent="0.25">
      <c r="E1617" s="2"/>
      <c r="G1617" s="3"/>
      <c r="H1617" s="3"/>
      <c r="I1617" s="3"/>
      <c r="J1617" s="3"/>
      <c r="K1617" s="3"/>
      <c r="L1617" s="3"/>
      <c r="N1617" s="10"/>
      <c r="O1617" s="3"/>
      <c r="P1617" s="3"/>
      <c r="Q1617" s="3"/>
    </row>
    <row r="1618" spans="5:17" x14ac:dyDescent="0.25">
      <c r="E1618" s="2"/>
      <c r="G1618" s="3"/>
      <c r="H1618" s="3"/>
      <c r="I1618" s="3"/>
      <c r="J1618" s="3"/>
      <c r="K1618" s="3"/>
      <c r="L1618" s="3"/>
      <c r="N1618" s="10"/>
      <c r="O1618" s="3"/>
      <c r="P1618" s="3"/>
      <c r="Q1618" s="3"/>
    </row>
    <row r="1619" spans="5:17" x14ac:dyDescent="0.25">
      <c r="E1619" s="2"/>
      <c r="G1619" s="3"/>
      <c r="H1619" s="3"/>
      <c r="I1619" s="3"/>
      <c r="J1619" s="3"/>
      <c r="K1619" s="3"/>
      <c r="L1619" s="3"/>
      <c r="N1619" s="10"/>
      <c r="O1619" s="3"/>
      <c r="P1619" s="3"/>
      <c r="Q1619" s="3"/>
    </row>
    <row r="1620" spans="5:17" x14ac:dyDescent="0.25">
      <c r="E1620" s="2"/>
      <c r="G1620" s="3"/>
      <c r="H1620" s="3"/>
      <c r="I1620" s="3"/>
      <c r="J1620" s="3"/>
      <c r="K1620" s="3"/>
      <c r="L1620" s="3"/>
      <c r="N1620" s="10"/>
      <c r="O1620" s="3"/>
      <c r="P1620" s="3"/>
      <c r="Q1620" s="3"/>
    </row>
    <row r="1621" spans="5:17" x14ac:dyDescent="0.25">
      <c r="E1621" s="2"/>
      <c r="G1621" s="3"/>
      <c r="H1621" s="3"/>
      <c r="I1621" s="3"/>
      <c r="J1621" s="3"/>
      <c r="K1621" s="3"/>
      <c r="L1621" s="3"/>
      <c r="N1621" s="10"/>
      <c r="O1621" s="3"/>
      <c r="P1621" s="3"/>
      <c r="Q1621" s="3"/>
    </row>
    <row r="1622" spans="5:17" x14ac:dyDescent="0.25">
      <c r="E1622" s="2"/>
      <c r="G1622" s="3"/>
      <c r="H1622" s="3"/>
      <c r="I1622" s="3"/>
      <c r="J1622" s="3"/>
      <c r="K1622" s="3"/>
      <c r="L1622" s="3"/>
      <c r="N1622" s="10"/>
      <c r="O1622" s="3"/>
      <c r="P1622" s="3"/>
      <c r="Q1622" s="3"/>
    </row>
    <row r="1623" spans="5:17" x14ac:dyDescent="0.25">
      <c r="E1623" s="2"/>
      <c r="G1623" s="3"/>
      <c r="H1623" s="3"/>
      <c r="I1623" s="3"/>
      <c r="J1623" s="3"/>
      <c r="K1623" s="3"/>
      <c r="L1623" s="3"/>
      <c r="N1623" s="10"/>
      <c r="O1623" s="3"/>
      <c r="P1623" s="3"/>
      <c r="Q1623" s="3"/>
    </row>
    <row r="1624" spans="5:17" x14ac:dyDescent="0.25">
      <c r="E1624" s="2"/>
      <c r="G1624" s="3"/>
      <c r="H1624" s="3"/>
      <c r="I1624" s="3"/>
      <c r="J1624" s="3"/>
      <c r="K1624" s="3"/>
      <c r="L1624" s="3"/>
      <c r="N1624" s="10"/>
      <c r="O1624" s="3"/>
      <c r="P1624" s="3"/>
      <c r="Q1624" s="3"/>
    </row>
    <row r="1625" spans="5:17" x14ac:dyDescent="0.25">
      <c r="E1625" s="2"/>
      <c r="G1625" s="3"/>
      <c r="H1625" s="3"/>
      <c r="I1625" s="3"/>
      <c r="J1625" s="3"/>
      <c r="K1625" s="3"/>
      <c r="L1625" s="3"/>
      <c r="N1625" s="10"/>
      <c r="O1625" s="3"/>
      <c r="P1625" s="3"/>
      <c r="Q1625" s="3"/>
    </row>
    <row r="1626" spans="5:17" x14ac:dyDescent="0.25">
      <c r="E1626" s="2"/>
      <c r="G1626" s="3"/>
      <c r="H1626" s="3"/>
      <c r="I1626" s="3"/>
      <c r="J1626" s="3"/>
      <c r="K1626" s="3"/>
      <c r="L1626" s="3"/>
      <c r="N1626" s="10"/>
      <c r="O1626" s="3"/>
      <c r="P1626" s="3"/>
      <c r="Q1626" s="3"/>
    </row>
    <row r="1627" spans="5:17" x14ac:dyDescent="0.25">
      <c r="E1627" s="2"/>
      <c r="G1627" s="3"/>
      <c r="H1627" s="3"/>
      <c r="I1627" s="3"/>
      <c r="J1627" s="3"/>
      <c r="K1627" s="3"/>
      <c r="L1627" s="3"/>
      <c r="N1627" s="10"/>
      <c r="O1627" s="3"/>
      <c r="P1627" s="3"/>
      <c r="Q1627" s="3"/>
    </row>
    <row r="1628" spans="5:17" x14ac:dyDescent="0.25">
      <c r="E1628" s="2"/>
      <c r="G1628" s="3"/>
      <c r="H1628" s="3"/>
      <c r="I1628" s="3"/>
      <c r="J1628" s="3"/>
      <c r="K1628" s="3"/>
      <c r="L1628" s="3"/>
      <c r="N1628" s="10"/>
      <c r="O1628" s="3"/>
      <c r="P1628" s="3"/>
      <c r="Q1628" s="3"/>
    </row>
    <row r="1629" spans="5:17" x14ac:dyDescent="0.25">
      <c r="E1629" s="2"/>
      <c r="G1629" s="3"/>
      <c r="H1629" s="3"/>
      <c r="I1629" s="3"/>
      <c r="J1629" s="3"/>
      <c r="K1629" s="3"/>
      <c r="L1629" s="3"/>
      <c r="N1629" s="10"/>
      <c r="O1629" s="3"/>
      <c r="P1629" s="3"/>
      <c r="Q1629" s="3"/>
    </row>
    <row r="1630" spans="5:17" x14ac:dyDescent="0.25">
      <c r="E1630" s="2"/>
      <c r="G1630" s="3"/>
      <c r="H1630" s="3"/>
      <c r="I1630" s="3"/>
      <c r="J1630" s="3"/>
      <c r="K1630" s="3"/>
      <c r="L1630" s="3"/>
      <c r="N1630" s="10"/>
      <c r="O1630" s="3"/>
      <c r="P1630" s="3"/>
      <c r="Q1630" s="3"/>
    </row>
    <row r="1631" spans="5:17" x14ac:dyDescent="0.25">
      <c r="E1631" s="2"/>
      <c r="G1631" s="3"/>
      <c r="H1631" s="3"/>
      <c r="I1631" s="3"/>
      <c r="J1631" s="3"/>
      <c r="K1631" s="3"/>
      <c r="L1631" s="3"/>
      <c r="N1631" s="10"/>
      <c r="O1631" s="3"/>
      <c r="P1631" s="3"/>
      <c r="Q1631" s="3"/>
    </row>
    <row r="1632" spans="5:17" x14ac:dyDescent="0.25">
      <c r="E1632" s="2"/>
      <c r="G1632" s="3"/>
      <c r="H1632" s="3"/>
      <c r="I1632" s="3"/>
      <c r="J1632" s="3"/>
      <c r="K1632" s="3"/>
      <c r="L1632" s="3"/>
      <c r="N1632" s="10"/>
      <c r="O1632" s="3"/>
      <c r="P1632" s="3"/>
      <c r="Q1632" s="3"/>
    </row>
    <row r="1633" spans="5:17" x14ac:dyDescent="0.25">
      <c r="E1633" s="2"/>
      <c r="G1633" s="3"/>
      <c r="H1633" s="3"/>
      <c r="I1633" s="3"/>
      <c r="J1633" s="3"/>
      <c r="K1633" s="3"/>
      <c r="L1633" s="3"/>
      <c r="N1633" s="10"/>
      <c r="O1633" s="3"/>
      <c r="P1633" s="3"/>
      <c r="Q1633" s="3"/>
    </row>
    <row r="1634" spans="5:17" x14ac:dyDescent="0.25">
      <c r="E1634" s="2"/>
      <c r="G1634" s="3"/>
      <c r="H1634" s="3"/>
      <c r="I1634" s="3"/>
      <c r="J1634" s="3"/>
      <c r="K1634" s="3"/>
      <c r="L1634" s="3"/>
      <c r="N1634" s="10"/>
      <c r="O1634" s="3"/>
      <c r="P1634" s="3"/>
      <c r="Q1634" s="3"/>
    </row>
    <row r="1635" spans="5:17" x14ac:dyDescent="0.25">
      <c r="E1635" s="2"/>
      <c r="G1635" s="3"/>
      <c r="H1635" s="3"/>
      <c r="I1635" s="3"/>
      <c r="J1635" s="3"/>
      <c r="K1635" s="3"/>
      <c r="L1635" s="3"/>
      <c r="N1635" s="10"/>
      <c r="O1635" s="3"/>
      <c r="P1635" s="3"/>
      <c r="Q1635" s="3"/>
    </row>
    <row r="1636" spans="5:17" x14ac:dyDescent="0.25">
      <c r="E1636" s="2"/>
      <c r="G1636" s="3"/>
      <c r="H1636" s="3"/>
      <c r="I1636" s="3"/>
      <c r="J1636" s="3"/>
      <c r="K1636" s="3"/>
      <c r="L1636" s="3"/>
      <c r="N1636" s="10"/>
      <c r="O1636" s="3"/>
      <c r="P1636" s="3"/>
      <c r="Q1636" s="3"/>
    </row>
    <row r="1637" spans="5:17" x14ac:dyDescent="0.25">
      <c r="E1637" s="2"/>
      <c r="G1637" s="3"/>
      <c r="H1637" s="3"/>
      <c r="I1637" s="3"/>
      <c r="J1637" s="3"/>
      <c r="K1637" s="3"/>
      <c r="L1637" s="3"/>
      <c r="N1637" s="10"/>
      <c r="O1637" s="3"/>
      <c r="P1637" s="3"/>
      <c r="Q1637" s="3"/>
    </row>
    <row r="1638" spans="5:17" x14ac:dyDescent="0.25">
      <c r="E1638" s="2"/>
      <c r="G1638" s="3"/>
      <c r="H1638" s="3"/>
      <c r="I1638" s="3"/>
      <c r="J1638" s="3"/>
      <c r="K1638" s="3"/>
      <c r="L1638" s="3"/>
      <c r="N1638" s="10"/>
      <c r="O1638" s="3"/>
      <c r="P1638" s="3"/>
      <c r="Q1638" s="3"/>
    </row>
    <row r="1639" spans="5:17" x14ac:dyDescent="0.25">
      <c r="E1639" s="2"/>
      <c r="G1639" s="3"/>
      <c r="H1639" s="3"/>
      <c r="I1639" s="3"/>
      <c r="J1639" s="3"/>
      <c r="K1639" s="3"/>
      <c r="L1639" s="3"/>
      <c r="N1639" s="10"/>
      <c r="O1639" s="3"/>
      <c r="P1639" s="3"/>
      <c r="Q1639" s="3"/>
    </row>
    <row r="1640" spans="5:17" x14ac:dyDescent="0.25">
      <c r="E1640" s="2"/>
      <c r="G1640" s="3"/>
      <c r="H1640" s="3"/>
      <c r="I1640" s="3"/>
      <c r="J1640" s="3"/>
      <c r="K1640" s="3"/>
      <c r="L1640" s="3"/>
      <c r="N1640" s="10"/>
      <c r="O1640" s="3"/>
      <c r="P1640" s="3"/>
      <c r="Q1640" s="3"/>
    </row>
    <row r="1641" spans="5:17" x14ac:dyDescent="0.25">
      <c r="E1641" s="2"/>
      <c r="G1641" s="3"/>
      <c r="H1641" s="3"/>
      <c r="I1641" s="3"/>
      <c r="J1641" s="3"/>
      <c r="K1641" s="3"/>
      <c r="L1641" s="3"/>
      <c r="N1641" s="10"/>
      <c r="O1641" s="3"/>
      <c r="P1641" s="3"/>
      <c r="Q1641" s="3"/>
    </row>
    <row r="1642" spans="5:17" x14ac:dyDescent="0.25">
      <c r="E1642" s="2"/>
      <c r="G1642" s="3"/>
      <c r="H1642" s="3"/>
      <c r="I1642" s="3"/>
      <c r="J1642" s="3"/>
      <c r="K1642" s="3"/>
      <c r="L1642" s="3"/>
      <c r="N1642" s="10"/>
      <c r="O1642" s="3"/>
      <c r="P1642" s="3"/>
      <c r="Q1642" s="3"/>
    </row>
    <row r="1643" spans="5:17" x14ac:dyDescent="0.25">
      <c r="E1643" s="2"/>
      <c r="G1643" s="3"/>
      <c r="H1643" s="3"/>
      <c r="I1643" s="3"/>
      <c r="J1643" s="3"/>
      <c r="K1643" s="3"/>
      <c r="L1643" s="3"/>
      <c r="N1643" s="10"/>
      <c r="O1643" s="3"/>
      <c r="P1643" s="3"/>
      <c r="Q1643" s="3"/>
    </row>
    <row r="1644" spans="5:17" x14ac:dyDescent="0.25">
      <c r="E1644" s="2"/>
      <c r="G1644" s="3"/>
      <c r="H1644" s="3"/>
      <c r="I1644" s="3"/>
      <c r="J1644" s="3"/>
      <c r="K1644" s="3"/>
      <c r="L1644" s="3"/>
      <c r="N1644" s="10"/>
      <c r="O1644" s="3"/>
      <c r="P1644" s="3"/>
      <c r="Q1644" s="3"/>
    </row>
    <row r="1645" spans="5:17" x14ac:dyDescent="0.25">
      <c r="E1645" s="2"/>
      <c r="G1645" s="3"/>
      <c r="H1645" s="3"/>
      <c r="I1645" s="3"/>
      <c r="J1645" s="3"/>
      <c r="K1645" s="3"/>
      <c r="L1645" s="3"/>
      <c r="N1645" s="10"/>
      <c r="O1645" s="3"/>
      <c r="P1645" s="3"/>
      <c r="Q1645" s="3"/>
    </row>
    <row r="1646" spans="5:17" x14ac:dyDescent="0.25">
      <c r="E1646" s="2"/>
      <c r="G1646" s="3"/>
      <c r="H1646" s="3"/>
      <c r="I1646" s="3"/>
      <c r="J1646" s="3"/>
      <c r="K1646" s="3"/>
      <c r="L1646" s="3"/>
      <c r="N1646" s="10"/>
      <c r="O1646" s="3"/>
      <c r="P1646" s="3"/>
      <c r="Q1646" s="3"/>
    </row>
    <row r="1647" spans="5:17" x14ac:dyDescent="0.25">
      <c r="E1647" s="2"/>
      <c r="G1647" s="3"/>
      <c r="H1647" s="3"/>
      <c r="I1647" s="3"/>
      <c r="J1647" s="3"/>
      <c r="K1647" s="3"/>
      <c r="L1647" s="3"/>
      <c r="N1647" s="10"/>
      <c r="O1647" s="3"/>
      <c r="P1647" s="3"/>
      <c r="Q1647" s="3"/>
    </row>
    <row r="1648" spans="5:17" x14ac:dyDescent="0.25">
      <c r="E1648" s="2"/>
      <c r="G1648" s="3"/>
      <c r="H1648" s="3"/>
      <c r="I1648" s="3"/>
      <c r="J1648" s="3"/>
      <c r="K1648" s="3"/>
      <c r="L1648" s="3"/>
      <c r="N1648" s="10"/>
      <c r="O1648" s="3"/>
      <c r="P1648" s="3"/>
      <c r="Q1648" s="3"/>
    </row>
    <row r="1649" spans="5:17" x14ac:dyDescent="0.25">
      <c r="E1649" s="2"/>
      <c r="G1649" s="3"/>
      <c r="H1649" s="3"/>
      <c r="I1649" s="3"/>
      <c r="J1649" s="3"/>
      <c r="K1649" s="3"/>
      <c r="L1649" s="3"/>
      <c r="N1649" s="10"/>
      <c r="O1649" s="3"/>
      <c r="P1649" s="3"/>
      <c r="Q1649" s="3"/>
    </row>
    <row r="1650" spans="5:17" x14ac:dyDescent="0.25">
      <c r="E1650" s="2"/>
      <c r="G1650" s="3"/>
      <c r="H1650" s="3"/>
      <c r="I1650" s="3"/>
      <c r="J1650" s="3"/>
      <c r="K1650" s="3"/>
      <c r="L1650" s="3"/>
      <c r="N1650" s="10"/>
      <c r="O1650" s="3"/>
      <c r="P1650" s="3"/>
      <c r="Q1650" s="3"/>
    </row>
    <row r="1651" spans="5:17" x14ac:dyDescent="0.25">
      <c r="E1651" s="2"/>
      <c r="G1651" s="3"/>
      <c r="H1651" s="3"/>
      <c r="I1651" s="3"/>
      <c r="J1651" s="3"/>
      <c r="K1651" s="3"/>
      <c r="L1651" s="3"/>
      <c r="N1651" s="10"/>
      <c r="O1651" s="3"/>
      <c r="P1651" s="3"/>
      <c r="Q1651" s="3"/>
    </row>
    <row r="1652" spans="5:17" x14ac:dyDescent="0.25">
      <c r="E1652" s="2"/>
      <c r="G1652" s="3"/>
      <c r="H1652" s="3"/>
      <c r="I1652" s="3"/>
      <c r="J1652" s="3"/>
      <c r="K1652" s="3"/>
      <c r="L1652" s="3"/>
      <c r="N1652" s="10"/>
      <c r="O1652" s="3"/>
      <c r="P1652" s="3"/>
      <c r="Q1652" s="3"/>
    </row>
    <row r="1653" spans="5:17" x14ac:dyDescent="0.25">
      <c r="E1653" s="2"/>
      <c r="G1653" s="3"/>
      <c r="H1653" s="3"/>
      <c r="I1653" s="3"/>
      <c r="J1653" s="3"/>
      <c r="K1653" s="3"/>
      <c r="L1653" s="3"/>
      <c r="N1653" s="10"/>
      <c r="O1653" s="3"/>
      <c r="P1653" s="3"/>
      <c r="Q1653" s="3"/>
    </row>
    <row r="1654" spans="5:17" x14ac:dyDescent="0.25">
      <c r="E1654" s="2"/>
      <c r="G1654" s="3"/>
      <c r="H1654" s="3"/>
      <c r="I1654" s="3"/>
      <c r="J1654" s="3"/>
      <c r="K1654" s="3"/>
      <c r="L1654" s="3"/>
      <c r="N1654" s="10"/>
      <c r="O1654" s="3"/>
      <c r="P1654" s="3"/>
      <c r="Q1654" s="3"/>
    </row>
    <row r="1655" spans="5:17" x14ac:dyDescent="0.25">
      <c r="E1655" s="2"/>
      <c r="G1655" s="3"/>
      <c r="H1655" s="3"/>
      <c r="I1655" s="3"/>
      <c r="J1655" s="3"/>
      <c r="K1655" s="3"/>
      <c r="L1655" s="3"/>
      <c r="N1655" s="10"/>
      <c r="O1655" s="3"/>
      <c r="P1655" s="3"/>
      <c r="Q1655" s="3"/>
    </row>
    <row r="1656" spans="5:17" x14ac:dyDescent="0.25">
      <c r="E1656" s="2"/>
      <c r="G1656" s="3"/>
      <c r="H1656" s="3"/>
      <c r="I1656" s="3"/>
      <c r="J1656" s="3"/>
      <c r="K1656" s="3"/>
      <c r="L1656" s="3"/>
      <c r="N1656" s="10"/>
      <c r="O1656" s="3"/>
      <c r="P1656" s="3"/>
      <c r="Q1656" s="3"/>
    </row>
    <row r="1657" spans="5:17" x14ac:dyDescent="0.25">
      <c r="E1657" s="2"/>
      <c r="G1657" s="3"/>
      <c r="H1657" s="3"/>
      <c r="I1657" s="3"/>
      <c r="J1657" s="3"/>
      <c r="K1657" s="3"/>
      <c r="L1657" s="3"/>
      <c r="N1657" s="10"/>
      <c r="O1657" s="3"/>
      <c r="P1657" s="3"/>
      <c r="Q1657" s="3"/>
    </row>
    <row r="1658" spans="5:17" x14ac:dyDescent="0.25">
      <c r="E1658" s="2"/>
      <c r="G1658" s="3"/>
      <c r="H1658" s="3"/>
      <c r="I1658" s="3"/>
      <c r="J1658" s="3"/>
      <c r="K1658" s="3"/>
      <c r="L1658" s="3"/>
      <c r="N1658" s="10"/>
      <c r="O1658" s="3"/>
      <c r="P1658" s="3"/>
      <c r="Q1658" s="3"/>
    </row>
    <row r="1659" spans="5:17" x14ac:dyDescent="0.25">
      <c r="E1659" s="2"/>
      <c r="G1659" s="3"/>
      <c r="H1659" s="3"/>
      <c r="I1659" s="3"/>
      <c r="J1659" s="3"/>
      <c r="K1659" s="3"/>
      <c r="L1659" s="3"/>
      <c r="N1659" s="10"/>
      <c r="O1659" s="3"/>
      <c r="P1659" s="3"/>
      <c r="Q1659" s="3"/>
    </row>
    <row r="1660" spans="5:17" x14ac:dyDescent="0.25">
      <c r="E1660" s="2"/>
      <c r="G1660" s="3"/>
      <c r="H1660" s="3"/>
      <c r="I1660" s="3"/>
      <c r="J1660" s="3"/>
      <c r="K1660" s="3"/>
      <c r="L1660" s="3"/>
      <c r="N1660" s="10"/>
      <c r="O1660" s="3"/>
      <c r="P1660" s="3"/>
      <c r="Q1660" s="3"/>
    </row>
    <row r="1661" spans="5:17" x14ac:dyDescent="0.25">
      <c r="E1661" s="2"/>
      <c r="G1661" s="3"/>
      <c r="H1661" s="3"/>
      <c r="I1661" s="3"/>
      <c r="J1661" s="3"/>
      <c r="K1661" s="3"/>
      <c r="L1661" s="3"/>
      <c r="N1661" s="10"/>
      <c r="O1661" s="3"/>
      <c r="P1661" s="3"/>
      <c r="Q1661" s="3"/>
    </row>
    <row r="1662" spans="5:17" x14ac:dyDescent="0.25">
      <c r="E1662" s="2"/>
      <c r="G1662" s="3"/>
      <c r="H1662" s="3"/>
      <c r="I1662" s="3"/>
      <c r="J1662" s="3"/>
      <c r="K1662" s="3"/>
      <c r="L1662" s="3"/>
      <c r="N1662" s="10"/>
      <c r="O1662" s="3"/>
      <c r="P1662" s="3"/>
      <c r="Q1662" s="3"/>
    </row>
    <row r="1663" spans="5:17" x14ac:dyDescent="0.25">
      <c r="E1663" s="2"/>
      <c r="G1663" s="3"/>
      <c r="H1663" s="3"/>
      <c r="I1663" s="3"/>
      <c r="J1663" s="3"/>
      <c r="K1663" s="3"/>
      <c r="L1663" s="3"/>
      <c r="N1663" s="10"/>
      <c r="O1663" s="3"/>
      <c r="P1663" s="3"/>
      <c r="Q1663" s="3"/>
    </row>
    <row r="1664" spans="5:17" x14ac:dyDescent="0.25">
      <c r="E1664" s="2"/>
      <c r="G1664" s="3"/>
      <c r="H1664" s="3"/>
      <c r="I1664" s="3"/>
      <c r="J1664" s="3"/>
      <c r="K1664" s="3"/>
      <c r="L1664" s="3"/>
      <c r="N1664" s="10"/>
      <c r="O1664" s="3"/>
      <c r="P1664" s="3"/>
      <c r="Q1664" s="3"/>
    </row>
    <row r="1665" spans="5:17" x14ac:dyDescent="0.25">
      <c r="E1665" s="2"/>
      <c r="G1665" s="3"/>
      <c r="H1665" s="3"/>
      <c r="I1665" s="3"/>
      <c r="J1665" s="3"/>
      <c r="K1665" s="3"/>
      <c r="L1665" s="3"/>
      <c r="N1665" s="10"/>
      <c r="O1665" s="3"/>
      <c r="P1665" s="3"/>
      <c r="Q1665" s="3"/>
    </row>
    <row r="1666" spans="5:17" x14ac:dyDescent="0.25">
      <c r="E1666" s="2"/>
      <c r="G1666" s="3"/>
      <c r="H1666" s="3"/>
      <c r="I1666" s="3"/>
      <c r="J1666" s="3"/>
      <c r="K1666" s="3"/>
      <c r="L1666" s="3"/>
      <c r="N1666" s="10"/>
      <c r="O1666" s="3"/>
      <c r="P1666" s="3"/>
      <c r="Q1666" s="3"/>
    </row>
    <row r="1667" spans="5:17" x14ac:dyDescent="0.25">
      <c r="E1667" s="2"/>
      <c r="G1667" s="3"/>
      <c r="H1667" s="3"/>
      <c r="I1667" s="3"/>
      <c r="J1667" s="3"/>
      <c r="K1667" s="3"/>
      <c r="L1667" s="3"/>
      <c r="N1667" s="10"/>
      <c r="O1667" s="3"/>
      <c r="P1667" s="3"/>
      <c r="Q1667" s="3"/>
    </row>
    <row r="1668" spans="5:17" x14ac:dyDescent="0.25">
      <c r="E1668" s="2"/>
      <c r="G1668" s="3"/>
      <c r="H1668" s="3"/>
      <c r="I1668" s="3"/>
      <c r="J1668" s="3"/>
      <c r="K1668" s="3"/>
      <c r="L1668" s="3"/>
      <c r="N1668" s="10"/>
      <c r="O1668" s="3"/>
      <c r="P1668" s="3"/>
      <c r="Q1668" s="3"/>
    </row>
    <row r="1669" spans="5:17" x14ac:dyDescent="0.25">
      <c r="E1669" s="2"/>
      <c r="G1669" s="3"/>
      <c r="H1669" s="3"/>
      <c r="I1669" s="3"/>
      <c r="J1669" s="3"/>
      <c r="K1669" s="3"/>
      <c r="L1669" s="3"/>
      <c r="N1669" s="10"/>
      <c r="O1669" s="3"/>
      <c r="P1669" s="3"/>
      <c r="Q1669" s="3"/>
    </row>
    <row r="1670" spans="5:17" x14ac:dyDescent="0.25">
      <c r="E1670" s="2"/>
      <c r="G1670" s="3"/>
      <c r="H1670" s="3"/>
      <c r="I1670" s="3"/>
      <c r="J1670" s="3"/>
      <c r="K1670" s="3"/>
      <c r="L1670" s="3"/>
      <c r="N1670" s="10"/>
      <c r="O1670" s="3"/>
      <c r="P1670" s="3"/>
      <c r="Q1670" s="3"/>
    </row>
    <row r="1671" spans="5:17" x14ac:dyDescent="0.25">
      <c r="E1671" s="2"/>
      <c r="G1671" s="3"/>
      <c r="H1671" s="3"/>
      <c r="I1671" s="3"/>
      <c r="J1671" s="3"/>
      <c r="K1671" s="3"/>
      <c r="L1671" s="3"/>
      <c r="N1671" s="10"/>
      <c r="O1671" s="3"/>
      <c r="P1671" s="3"/>
      <c r="Q1671" s="3"/>
    </row>
    <row r="1672" spans="5:17" x14ac:dyDescent="0.25">
      <c r="E1672" s="2"/>
      <c r="G1672" s="3"/>
      <c r="H1672" s="3"/>
      <c r="I1672" s="3"/>
      <c r="J1672" s="3"/>
      <c r="K1672" s="3"/>
      <c r="L1672" s="3"/>
      <c r="N1672" s="10"/>
      <c r="O1672" s="3"/>
      <c r="P1672" s="3"/>
      <c r="Q1672" s="3"/>
    </row>
    <row r="1673" spans="5:17" x14ac:dyDescent="0.25">
      <c r="E1673" s="2"/>
      <c r="G1673" s="3"/>
      <c r="H1673" s="3"/>
      <c r="I1673" s="3"/>
      <c r="J1673" s="3"/>
      <c r="K1673" s="3"/>
      <c r="L1673" s="3"/>
      <c r="N1673" s="10"/>
      <c r="O1673" s="3"/>
      <c r="P1673" s="3"/>
      <c r="Q1673" s="3"/>
    </row>
    <row r="1674" spans="5:17" x14ac:dyDescent="0.25">
      <c r="E1674" s="2"/>
      <c r="G1674" s="3"/>
      <c r="H1674" s="3"/>
      <c r="I1674" s="3"/>
      <c r="J1674" s="3"/>
      <c r="K1674" s="3"/>
      <c r="L1674" s="3"/>
      <c r="N1674" s="10"/>
      <c r="O1674" s="3"/>
      <c r="P1674" s="3"/>
      <c r="Q1674" s="3"/>
    </row>
    <row r="1675" spans="5:17" x14ac:dyDescent="0.25">
      <c r="E1675" s="2"/>
      <c r="G1675" s="3"/>
      <c r="H1675" s="3"/>
      <c r="I1675" s="3"/>
      <c r="J1675" s="3"/>
      <c r="K1675" s="3"/>
      <c r="L1675" s="3"/>
      <c r="N1675" s="10"/>
      <c r="O1675" s="3"/>
      <c r="P1675" s="3"/>
      <c r="Q1675" s="3"/>
    </row>
    <row r="1676" spans="5:17" x14ac:dyDescent="0.25">
      <c r="E1676" s="2"/>
      <c r="G1676" s="3"/>
      <c r="H1676" s="3"/>
      <c r="I1676" s="3"/>
      <c r="J1676" s="3"/>
      <c r="K1676" s="3"/>
      <c r="L1676" s="3"/>
      <c r="N1676" s="10"/>
      <c r="O1676" s="3"/>
      <c r="P1676" s="3"/>
      <c r="Q1676" s="3"/>
    </row>
    <row r="1677" spans="5:17" x14ac:dyDescent="0.25">
      <c r="E1677" s="2"/>
      <c r="G1677" s="3"/>
      <c r="H1677" s="3"/>
      <c r="I1677" s="3"/>
      <c r="J1677" s="3"/>
      <c r="K1677" s="3"/>
      <c r="L1677" s="3"/>
      <c r="N1677" s="10"/>
      <c r="O1677" s="3"/>
      <c r="P1677" s="3"/>
      <c r="Q1677" s="3"/>
    </row>
    <row r="1678" spans="5:17" x14ac:dyDescent="0.25">
      <c r="E1678" s="2"/>
      <c r="G1678" s="3"/>
      <c r="H1678" s="3"/>
      <c r="I1678" s="3"/>
      <c r="J1678" s="3"/>
      <c r="K1678" s="3"/>
      <c r="L1678" s="3"/>
      <c r="N1678" s="10"/>
      <c r="O1678" s="3"/>
      <c r="P1678" s="3"/>
      <c r="Q1678" s="3"/>
    </row>
    <row r="1679" spans="5:17" x14ac:dyDescent="0.25">
      <c r="E1679" s="2"/>
      <c r="G1679" s="3"/>
      <c r="H1679" s="3"/>
      <c r="I1679" s="3"/>
      <c r="J1679" s="3"/>
      <c r="K1679" s="3"/>
      <c r="L1679" s="3"/>
      <c r="N1679" s="10"/>
      <c r="O1679" s="3"/>
      <c r="P1679" s="3"/>
      <c r="Q1679" s="3"/>
    </row>
    <row r="1680" spans="5:17" x14ac:dyDescent="0.25">
      <c r="E1680" s="2"/>
      <c r="G1680" s="3"/>
      <c r="H1680" s="3"/>
      <c r="I1680" s="3"/>
      <c r="J1680" s="3"/>
      <c r="K1680" s="3"/>
      <c r="L1680" s="3"/>
      <c r="N1680" s="10"/>
      <c r="O1680" s="3"/>
      <c r="P1680" s="3"/>
      <c r="Q1680" s="3"/>
    </row>
    <row r="1681" spans="5:17" x14ac:dyDescent="0.25">
      <c r="E1681" s="2"/>
      <c r="G1681" s="3"/>
      <c r="H1681" s="3"/>
      <c r="I1681" s="3"/>
      <c r="J1681" s="3"/>
      <c r="K1681" s="3"/>
      <c r="L1681" s="3"/>
      <c r="N1681" s="10"/>
      <c r="O1681" s="3"/>
      <c r="P1681" s="3"/>
      <c r="Q1681" s="3"/>
    </row>
    <row r="1682" spans="5:17" x14ac:dyDescent="0.25">
      <c r="E1682" s="2"/>
      <c r="G1682" s="3"/>
      <c r="H1682" s="3"/>
      <c r="I1682" s="3"/>
      <c r="J1682" s="3"/>
      <c r="K1682" s="3"/>
      <c r="L1682" s="3"/>
      <c r="N1682" s="10"/>
      <c r="O1682" s="3"/>
      <c r="P1682" s="3"/>
      <c r="Q1682" s="3"/>
    </row>
    <row r="1683" spans="5:17" x14ac:dyDescent="0.25">
      <c r="E1683" s="2"/>
      <c r="G1683" s="3"/>
      <c r="H1683" s="3"/>
      <c r="I1683" s="3"/>
      <c r="J1683" s="3"/>
      <c r="K1683" s="3"/>
      <c r="L1683" s="3"/>
      <c r="N1683" s="10"/>
      <c r="O1683" s="3"/>
      <c r="P1683" s="3"/>
      <c r="Q1683" s="3"/>
    </row>
    <row r="1684" spans="5:17" x14ac:dyDescent="0.25">
      <c r="E1684" s="2"/>
      <c r="G1684" s="3"/>
      <c r="H1684" s="3"/>
      <c r="I1684" s="3"/>
      <c r="J1684" s="3"/>
      <c r="K1684" s="3"/>
      <c r="L1684" s="3"/>
      <c r="N1684" s="10"/>
      <c r="O1684" s="3"/>
      <c r="P1684" s="3"/>
      <c r="Q1684" s="3"/>
    </row>
    <row r="1685" spans="5:17" x14ac:dyDescent="0.25">
      <c r="E1685" s="2"/>
      <c r="G1685" s="3"/>
      <c r="H1685" s="3"/>
      <c r="I1685" s="3"/>
      <c r="J1685" s="3"/>
      <c r="K1685" s="3"/>
      <c r="L1685" s="3"/>
      <c r="N1685" s="10"/>
      <c r="O1685" s="3"/>
      <c r="P1685" s="3"/>
      <c r="Q1685" s="3"/>
    </row>
    <row r="1686" spans="5:17" x14ac:dyDescent="0.25">
      <c r="E1686" s="2"/>
      <c r="G1686" s="3"/>
      <c r="H1686" s="3"/>
      <c r="I1686" s="3"/>
      <c r="J1686" s="3"/>
      <c r="K1686" s="3"/>
      <c r="L1686" s="3"/>
      <c r="N1686" s="10"/>
      <c r="O1686" s="3"/>
      <c r="P1686" s="3"/>
      <c r="Q1686" s="3"/>
    </row>
    <row r="1687" spans="5:17" x14ac:dyDescent="0.25">
      <c r="E1687" s="2"/>
      <c r="G1687" s="3"/>
      <c r="H1687" s="3"/>
      <c r="I1687" s="3"/>
      <c r="J1687" s="3"/>
      <c r="K1687" s="3"/>
      <c r="L1687" s="3"/>
      <c r="N1687" s="10"/>
      <c r="O1687" s="3"/>
      <c r="P1687" s="3"/>
      <c r="Q1687" s="3"/>
    </row>
    <row r="1688" spans="5:17" x14ac:dyDescent="0.25">
      <c r="E1688" s="2"/>
      <c r="G1688" s="3"/>
      <c r="H1688" s="3"/>
      <c r="I1688" s="3"/>
      <c r="J1688" s="3"/>
      <c r="K1688" s="3"/>
      <c r="L1688" s="3"/>
      <c r="N1688" s="10"/>
      <c r="O1688" s="3"/>
      <c r="P1688" s="3"/>
      <c r="Q1688" s="3"/>
    </row>
    <row r="1689" spans="5:17" x14ac:dyDescent="0.25">
      <c r="E1689" s="2"/>
      <c r="G1689" s="3"/>
      <c r="H1689" s="3"/>
      <c r="I1689" s="3"/>
      <c r="J1689" s="3"/>
      <c r="K1689" s="3"/>
      <c r="L1689" s="3"/>
      <c r="N1689" s="10"/>
      <c r="O1689" s="3"/>
      <c r="P1689" s="3"/>
      <c r="Q1689" s="3"/>
    </row>
    <row r="1690" spans="5:17" x14ac:dyDescent="0.25">
      <c r="E1690" s="2"/>
      <c r="G1690" s="3"/>
      <c r="H1690" s="3"/>
      <c r="I1690" s="3"/>
      <c r="J1690" s="3"/>
      <c r="K1690" s="3"/>
      <c r="L1690" s="3"/>
      <c r="N1690" s="10"/>
      <c r="O1690" s="3"/>
      <c r="P1690" s="3"/>
      <c r="Q1690" s="3"/>
    </row>
    <row r="1691" spans="5:17" x14ac:dyDescent="0.25">
      <c r="E1691" s="2"/>
      <c r="G1691" s="3"/>
      <c r="H1691" s="3"/>
      <c r="I1691" s="3"/>
      <c r="J1691" s="3"/>
      <c r="K1691" s="3"/>
      <c r="L1691" s="3"/>
      <c r="N1691" s="10"/>
      <c r="O1691" s="3"/>
      <c r="P1691" s="3"/>
      <c r="Q1691" s="3"/>
    </row>
    <row r="1692" spans="5:17" x14ac:dyDescent="0.25">
      <c r="E1692" s="2"/>
      <c r="G1692" s="3"/>
      <c r="H1692" s="3"/>
      <c r="I1692" s="3"/>
      <c r="J1692" s="3"/>
      <c r="K1692" s="3"/>
      <c r="L1692" s="3"/>
      <c r="N1692" s="10"/>
      <c r="O1692" s="3"/>
      <c r="P1692" s="3"/>
      <c r="Q1692" s="3"/>
    </row>
    <row r="1693" spans="5:17" x14ac:dyDescent="0.25">
      <c r="E1693" s="2"/>
      <c r="G1693" s="3"/>
      <c r="H1693" s="3"/>
      <c r="I1693" s="3"/>
      <c r="J1693" s="3"/>
      <c r="K1693" s="3"/>
      <c r="L1693" s="3"/>
      <c r="N1693" s="10"/>
      <c r="O1693" s="3"/>
      <c r="P1693" s="3"/>
      <c r="Q1693" s="3"/>
    </row>
    <row r="1694" spans="5:17" x14ac:dyDescent="0.25">
      <c r="E1694" s="2"/>
      <c r="G1694" s="3"/>
      <c r="H1694" s="3"/>
      <c r="I1694" s="3"/>
      <c r="J1694" s="3"/>
      <c r="K1694" s="3"/>
      <c r="L1694" s="3"/>
      <c r="N1694" s="10"/>
      <c r="O1694" s="3"/>
      <c r="P1694" s="3"/>
      <c r="Q1694" s="3"/>
    </row>
    <row r="1695" spans="5:17" x14ac:dyDescent="0.25">
      <c r="E1695" s="2"/>
      <c r="G1695" s="3"/>
      <c r="H1695" s="3"/>
      <c r="I1695" s="3"/>
      <c r="J1695" s="3"/>
      <c r="K1695" s="3"/>
      <c r="L1695" s="3"/>
      <c r="N1695" s="10"/>
      <c r="O1695" s="3"/>
      <c r="P1695" s="3"/>
      <c r="Q1695" s="3"/>
    </row>
    <row r="1696" spans="5:17" x14ac:dyDescent="0.25">
      <c r="E1696" s="2"/>
      <c r="G1696" s="3"/>
      <c r="H1696" s="3"/>
      <c r="I1696" s="3"/>
      <c r="J1696" s="3"/>
      <c r="K1696" s="3"/>
      <c r="L1696" s="3"/>
      <c r="N1696" s="10"/>
      <c r="O1696" s="3"/>
      <c r="P1696" s="3"/>
      <c r="Q1696" s="3"/>
    </row>
    <row r="1697" spans="5:17" x14ac:dyDescent="0.25">
      <c r="E1697" s="2"/>
      <c r="G1697" s="3"/>
      <c r="H1697" s="3"/>
      <c r="I1697" s="3"/>
      <c r="J1697" s="3"/>
      <c r="K1697" s="3"/>
      <c r="L1697" s="3"/>
      <c r="N1697" s="10"/>
      <c r="O1697" s="3"/>
      <c r="P1697" s="3"/>
      <c r="Q1697" s="3"/>
    </row>
    <row r="1698" spans="5:17" x14ac:dyDescent="0.25">
      <c r="E1698" s="2"/>
      <c r="G1698" s="3"/>
      <c r="H1698" s="3"/>
      <c r="I1698" s="3"/>
      <c r="J1698" s="3"/>
      <c r="K1698" s="3"/>
      <c r="L1698" s="3"/>
      <c r="N1698" s="10"/>
      <c r="O1698" s="3"/>
      <c r="P1698" s="3"/>
      <c r="Q1698" s="3"/>
    </row>
    <row r="1699" spans="5:17" x14ac:dyDescent="0.25">
      <c r="E1699" s="2"/>
      <c r="G1699" s="3"/>
      <c r="H1699" s="3"/>
      <c r="I1699" s="3"/>
      <c r="J1699" s="3"/>
      <c r="K1699" s="3"/>
      <c r="L1699" s="3"/>
      <c r="N1699" s="10"/>
      <c r="O1699" s="3"/>
      <c r="P1699" s="3"/>
      <c r="Q1699" s="3"/>
    </row>
    <row r="1700" spans="5:17" x14ac:dyDescent="0.25">
      <c r="E1700" s="2"/>
      <c r="G1700" s="3"/>
      <c r="H1700" s="3"/>
      <c r="I1700" s="3"/>
      <c r="J1700" s="3"/>
      <c r="K1700" s="3"/>
      <c r="L1700" s="3"/>
      <c r="N1700" s="10"/>
      <c r="O1700" s="3"/>
      <c r="P1700" s="3"/>
      <c r="Q1700" s="3"/>
    </row>
    <row r="1701" spans="5:17" x14ac:dyDescent="0.25">
      <c r="E1701" s="2"/>
      <c r="G1701" s="3"/>
      <c r="H1701" s="3"/>
      <c r="I1701" s="3"/>
      <c r="J1701" s="3"/>
      <c r="K1701" s="3"/>
      <c r="L1701" s="3"/>
      <c r="N1701" s="10"/>
      <c r="O1701" s="3"/>
      <c r="P1701" s="3"/>
      <c r="Q1701" s="3"/>
    </row>
    <row r="1702" spans="5:17" x14ac:dyDescent="0.25">
      <c r="E1702" s="2"/>
      <c r="G1702" s="3"/>
      <c r="H1702" s="3"/>
      <c r="I1702" s="3"/>
      <c r="J1702" s="3"/>
      <c r="K1702" s="3"/>
      <c r="L1702" s="3"/>
      <c r="N1702" s="10"/>
      <c r="O1702" s="3"/>
      <c r="P1702" s="3"/>
      <c r="Q1702" s="3"/>
    </row>
    <row r="1703" spans="5:17" x14ac:dyDescent="0.25">
      <c r="E1703" s="2"/>
      <c r="G1703" s="3"/>
      <c r="H1703" s="3"/>
      <c r="I1703" s="3"/>
      <c r="J1703" s="3"/>
      <c r="K1703" s="3"/>
      <c r="L1703" s="3"/>
      <c r="N1703" s="10"/>
      <c r="O1703" s="3"/>
      <c r="P1703" s="3"/>
      <c r="Q1703" s="3"/>
    </row>
    <row r="1704" spans="5:17" x14ac:dyDescent="0.25">
      <c r="E1704" s="2"/>
      <c r="G1704" s="3"/>
      <c r="H1704" s="3"/>
      <c r="I1704" s="3"/>
      <c r="J1704" s="3"/>
      <c r="K1704" s="3"/>
      <c r="L1704" s="3"/>
      <c r="N1704" s="10"/>
      <c r="O1704" s="3"/>
      <c r="P1704" s="3"/>
      <c r="Q1704" s="3"/>
    </row>
    <row r="1705" spans="5:17" x14ac:dyDescent="0.25">
      <c r="E1705" s="2"/>
      <c r="G1705" s="3"/>
      <c r="H1705" s="3"/>
      <c r="I1705" s="3"/>
      <c r="J1705" s="3"/>
      <c r="K1705" s="3"/>
      <c r="L1705" s="3"/>
      <c r="N1705" s="10"/>
      <c r="O1705" s="3"/>
      <c r="P1705" s="3"/>
      <c r="Q1705" s="3"/>
    </row>
    <row r="1706" spans="5:17" x14ac:dyDescent="0.25">
      <c r="E1706" s="2"/>
      <c r="G1706" s="3"/>
      <c r="H1706" s="3"/>
      <c r="I1706" s="3"/>
      <c r="J1706" s="3"/>
      <c r="K1706" s="3"/>
      <c r="L1706" s="3"/>
      <c r="N1706" s="10"/>
      <c r="O1706" s="3"/>
      <c r="P1706" s="3"/>
      <c r="Q1706" s="3"/>
    </row>
    <row r="1707" spans="5:17" x14ac:dyDescent="0.25">
      <c r="E1707" s="2"/>
      <c r="G1707" s="3"/>
      <c r="H1707" s="3"/>
      <c r="I1707" s="3"/>
      <c r="J1707" s="3"/>
      <c r="K1707" s="3"/>
      <c r="L1707" s="3"/>
      <c r="N1707" s="10"/>
      <c r="O1707" s="3"/>
      <c r="P1707" s="3"/>
      <c r="Q1707" s="3"/>
    </row>
    <row r="1708" spans="5:17" x14ac:dyDescent="0.25">
      <c r="E1708" s="2"/>
      <c r="G1708" s="3"/>
      <c r="H1708" s="3"/>
      <c r="I1708" s="3"/>
      <c r="J1708" s="3"/>
      <c r="K1708" s="3"/>
      <c r="L1708" s="3"/>
      <c r="N1708" s="10"/>
      <c r="O1708" s="3"/>
      <c r="P1708" s="3"/>
      <c r="Q1708" s="3"/>
    </row>
    <row r="1709" spans="5:17" x14ac:dyDescent="0.25">
      <c r="E1709" s="2"/>
      <c r="G1709" s="3"/>
      <c r="H1709" s="3"/>
      <c r="I1709" s="3"/>
      <c r="J1709" s="3"/>
      <c r="K1709" s="3"/>
      <c r="L1709" s="3"/>
      <c r="N1709" s="10"/>
      <c r="O1709" s="3"/>
      <c r="P1709" s="3"/>
      <c r="Q1709" s="3"/>
    </row>
    <row r="1710" spans="5:17" x14ac:dyDescent="0.25">
      <c r="E1710" s="2"/>
      <c r="G1710" s="3"/>
      <c r="H1710" s="3"/>
      <c r="I1710" s="3"/>
      <c r="J1710" s="3"/>
      <c r="K1710" s="3"/>
      <c r="L1710" s="3"/>
      <c r="N1710" s="10"/>
      <c r="O1710" s="3"/>
      <c r="P1710" s="3"/>
      <c r="Q1710" s="3"/>
    </row>
    <row r="1711" spans="5:17" x14ac:dyDescent="0.25">
      <c r="E1711" s="2"/>
      <c r="G1711" s="3"/>
      <c r="H1711" s="3"/>
      <c r="I1711" s="3"/>
      <c r="J1711" s="3"/>
      <c r="K1711" s="3"/>
      <c r="L1711" s="3"/>
      <c r="N1711" s="10"/>
      <c r="O1711" s="3"/>
      <c r="P1711" s="3"/>
      <c r="Q1711" s="3"/>
    </row>
    <row r="1712" spans="5:17" x14ac:dyDescent="0.25">
      <c r="E1712" s="2"/>
      <c r="G1712" s="3"/>
      <c r="H1712" s="3"/>
      <c r="I1712" s="3"/>
      <c r="J1712" s="3"/>
      <c r="K1712" s="3"/>
      <c r="L1712" s="3"/>
      <c r="N1712" s="10"/>
      <c r="O1712" s="3"/>
      <c r="P1712" s="3"/>
      <c r="Q1712" s="3"/>
    </row>
    <row r="1713" spans="5:17" x14ac:dyDescent="0.25">
      <c r="E1713" s="2"/>
      <c r="G1713" s="3"/>
      <c r="H1713" s="3"/>
      <c r="I1713" s="3"/>
      <c r="J1713" s="3"/>
      <c r="K1713" s="3"/>
      <c r="L1713" s="3"/>
      <c r="N1713" s="10"/>
      <c r="O1713" s="3"/>
      <c r="P1713" s="3"/>
      <c r="Q1713" s="3"/>
    </row>
    <row r="1714" spans="5:17" x14ac:dyDescent="0.25">
      <c r="E1714" s="2"/>
      <c r="G1714" s="3"/>
      <c r="H1714" s="3"/>
      <c r="I1714" s="3"/>
      <c r="J1714" s="3"/>
      <c r="K1714" s="3"/>
      <c r="L1714" s="3"/>
      <c r="N1714" s="10"/>
      <c r="O1714" s="3"/>
      <c r="P1714" s="3"/>
      <c r="Q1714" s="3"/>
    </row>
    <row r="1715" spans="5:17" x14ac:dyDescent="0.25">
      <c r="E1715" s="2"/>
      <c r="G1715" s="3"/>
      <c r="H1715" s="3"/>
      <c r="I1715" s="3"/>
      <c r="J1715" s="3"/>
      <c r="K1715" s="3"/>
      <c r="L1715" s="3"/>
      <c r="N1715" s="10"/>
      <c r="O1715" s="3"/>
      <c r="P1715" s="3"/>
      <c r="Q1715" s="3"/>
    </row>
    <row r="1716" spans="5:17" x14ac:dyDescent="0.25">
      <c r="E1716" s="2"/>
      <c r="G1716" s="3"/>
      <c r="H1716" s="3"/>
      <c r="I1716" s="3"/>
      <c r="J1716" s="3"/>
      <c r="K1716" s="3"/>
      <c r="L1716" s="3"/>
      <c r="N1716" s="10"/>
      <c r="O1716" s="3"/>
      <c r="P1716" s="3"/>
      <c r="Q1716" s="3"/>
    </row>
    <row r="1717" spans="5:17" x14ac:dyDescent="0.25">
      <c r="E1717" s="2"/>
      <c r="G1717" s="3"/>
      <c r="H1717" s="3"/>
      <c r="I1717" s="3"/>
      <c r="J1717" s="3"/>
      <c r="K1717" s="3"/>
      <c r="L1717" s="3"/>
      <c r="N1717" s="10"/>
      <c r="O1717" s="3"/>
      <c r="P1717" s="3"/>
      <c r="Q1717" s="3"/>
    </row>
    <row r="1718" spans="5:17" x14ac:dyDescent="0.25">
      <c r="E1718" s="2"/>
      <c r="G1718" s="3"/>
      <c r="H1718" s="3"/>
      <c r="I1718" s="3"/>
      <c r="J1718" s="3"/>
      <c r="K1718" s="3"/>
      <c r="L1718" s="3"/>
      <c r="N1718" s="10"/>
      <c r="O1718" s="3"/>
      <c r="P1718" s="3"/>
      <c r="Q1718" s="3"/>
    </row>
    <row r="1719" spans="5:17" x14ac:dyDescent="0.25">
      <c r="E1719" s="2"/>
      <c r="G1719" s="3"/>
      <c r="H1719" s="3"/>
      <c r="I1719" s="3"/>
      <c r="J1719" s="3"/>
      <c r="K1719" s="3"/>
      <c r="L1719" s="3"/>
      <c r="N1719" s="10"/>
      <c r="O1719" s="3"/>
      <c r="P1719" s="3"/>
      <c r="Q1719" s="3"/>
    </row>
    <row r="1720" spans="5:17" x14ac:dyDescent="0.25">
      <c r="E1720" s="2"/>
      <c r="G1720" s="3"/>
      <c r="H1720" s="3"/>
      <c r="I1720" s="3"/>
      <c r="J1720" s="3"/>
      <c r="K1720" s="3"/>
      <c r="L1720" s="3"/>
      <c r="N1720" s="10"/>
      <c r="O1720" s="3"/>
      <c r="P1720" s="3"/>
      <c r="Q1720" s="3"/>
    </row>
    <row r="1721" spans="5:17" x14ac:dyDescent="0.25">
      <c r="E1721" s="2"/>
      <c r="G1721" s="3"/>
      <c r="H1721" s="3"/>
      <c r="I1721" s="3"/>
      <c r="J1721" s="3"/>
      <c r="K1721" s="3"/>
      <c r="L1721" s="3"/>
      <c r="N1721" s="10"/>
      <c r="O1721" s="3"/>
      <c r="P1721" s="3"/>
      <c r="Q1721" s="3"/>
    </row>
    <row r="1722" spans="5:17" x14ac:dyDescent="0.25">
      <c r="E1722" s="2"/>
      <c r="G1722" s="3"/>
      <c r="H1722" s="3"/>
      <c r="I1722" s="3"/>
      <c r="J1722" s="3"/>
      <c r="K1722" s="3"/>
      <c r="L1722" s="3"/>
      <c r="N1722" s="10"/>
      <c r="O1722" s="3"/>
      <c r="P1722" s="3"/>
      <c r="Q1722" s="3"/>
    </row>
    <row r="1723" spans="5:17" x14ac:dyDescent="0.25">
      <c r="E1723" s="2"/>
      <c r="G1723" s="3"/>
      <c r="H1723" s="3"/>
      <c r="I1723" s="3"/>
      <c r="J1723" s="3"/>
      <c r="K1723" s="3"/>
      <c r="L1723" s="3"/>
      <c r="N1723" s="10"/>
      <c r="O1723" s="3"/>
      <c r="P1723" s="3"/>
      <c r="Q1723" s="3"/>
    </row>
    <row r="1724" spans="5:17" x14ac:dyDescent="0.25">
      <c r="E1724" s="2"/>
      <c r="G1724" s="3"/>
      <c r="H1724" s="3"/>
      <c r="I1724" s="3"/>
      <c r="J1724" s="3"/>
      <c r="K1724" s="3"/>
      <c r="L1724" s="3"/>
      <c r="N1724" s="10"/>
      <c r="O1724" s="3"/>
      <c r="P1724" s="3"/>
      <c r="Q1724" s="3"/>
    </row>
    <row r="1725" spans="5:17" x14ac:dyDescent="0.25">
      <c r="E1725" s="2"/>
      <c r="G1725" s="3"/>
      <c r="H1725" s="3"/>
      <c r="I1725" s="3"/>
      <c r="J1725" s="3"/>
      <c r="K1725" s="3"/>
      <c r="L1725" s="3"/>
      <c r="N1725" s="10"/>
      <c r="O1725" s="3"/>
      <c r="P1725" s="3"/>
      <c r="Q1725" s="3"/>
    </row>
    <row r="1726" spans="5:17" x14ac:dyDescent="0.25">
      <c r="E1726" s="2"/>
      <c r="G1726" s="3"/>
      <c r="H1726" s="3"/>
      <c r="I1726" s="3"/>
      <c r="J1726" s="3"/>
      <c r="K1726" s="3"/>
      <c r="L1726" s="3"/>
      <c r="N1726" s="10"/>
      <c r="O1726" s="3"/>
      <c r="P1726" s="3"/>
      <c r="Q1726" s="3"/>
    </row>
    <row r="1727" spans="5:17" x14ac:dyDescent="0.25">
      <c r="E1727" s="2"/>
      <c r="G1727" s="3"/>
      <c r="H1727" s="3"/>
      <c r="I1727" s="3"/>
      <c r="J1727" s="3"/>
      <c r="K1727" s="3"/>
      <c r="L1727" s="3"/>
      <c r="N1727" s="10"/>
      <c r="O1727" s="3"/>
      <c r="P1727" s="3"/>
      <c r="Q1727" s="3"/>
    </row>
    <row r="1728" spans="5:17" x14ac:dyDescent="0.25">
      <c r="E1728" s="2"/>
      <c r="G1728" s="3"/>
      <c r="H1728" s="3"/>
      <c r="I1728" s="3"/>
      <c r="J1728" s="3"/>
      <c r="K1728" s="3"/>
      <c r="L1728" s="3"/>
      <c r="N1728" s="10"/>
      <c r="O1728" s="3"/>
      <c r="P1728" s="3"/>
      <c r="Q1728" s="3"/>
    </row>
    <row r="1729" spans="5:17" x14ac:dyDescent="0.25">
      <c r="E1729" s="2"/>
      <c r="G1729" s="3"/>
      <c r="H1729" s="3"/>
      <c r="I1729" s="3"/>
      <c r="J1729" s="3"/>
      <c r="K1729" s="3"/>
      <c r="L1729" s="3"/>
      <c r="N1729" s="10"/>
      <c r="O1729" s="3"/>
      <c r="P1729" s="3"/>
      <c r="Q1729" s="3"/>
    </row>
    <row r="1730" spans="5:17" x14ac:dyDescent="0.25">
      <c r="E1730" s="2"/>
      <c r="G1730" s="3"/>
      <c r="H1730" s="3"/>
      <c r="I1730" s="3"/>
      <c r="J1730" s="3"/>
      <c r="K1730" s="3"/>
      <c r="L1730" s="3"/>
      <c r="N1730" s="10"/>
      <c r="O1730" s="3"/>
      <c r="P1730" s="3"/>
      <c r="Q1730" s="3"/>
    </row>
    <row r="1731" spans="5:17" x14ac:dyDescent="0.25">
      <c r="E1731" s="2"/>
      <c r="G1731" s="3"/>
      <c r="H1731" s="3"/>
      <c r="I1731" s="3"/>
      <c r="J1731" s="3"/>
      <c r="K1731" s="3"/>
      <c r="L1731" s="3"/>
      <c r="N1731" s="10"/>
      <c r="O1731" s="3"/>
      <c r="P1731" s="3"/>
      <c r="Q1731" s="3"/>
    </row>
    <row r="1732" spans="5:17" x14ac:dyDescent="0.25">
      <c r="E1732" s="2"/>
      <c r="G1732" s="3"/>
      <c r="H1732" s="3"/>
      <c r="I1732" s="3"/>
      <c r="J1732" s="3"/>
      <c r="K1732" s="3"/>
      <c r="L1732" s="3"/>
      <c r="N1732" s="10"/>
      <c r="O1732" s="3"/>
      <c r="P1732" s="3"/>
      <c r="Q1732" s="3"/>
    </row>
    <row r="1733" spans="5:17" x14ac:dyDescent="0.25">
      <c r="E1733" s="2"/>
      <c r="G1733" s="3"/>
      <c r="H1733" s="3"/>
      <c r="I1733" s="3"/>
      <c r="J1733" s="3"/>
      <c r="K1733" s="3"/>
      <c r="L1733" s="3"/>
      <c r="N1733" s="10"/>
      <c r="O1733" s="3"/>
      <c r="P1733" s="3"/>
      <c r="Q1733" s="3"/>
    </row>
    <row r="1734" spans="5:17" x14ac:dyDescent="0.25">
      <c r="E1734" s="2"/>
      <c r="G1734" s="3"/>
      <c r="H1734" s="3"/>
      <c r="I1734" s="3"/>
      <c r="J1734" s="3"/>
      <c r="K1734" s="3"/>
      <c r="L1734" s="3"/>
      <c r="N1734" s="10"/>
      <c r="O1734" s="3"/>
      <c r="P1734" s="3"/>
      <c r="Q1734" s="3"/>
    </row>
    <row r="1735" spans="5:17" x14ac:dyDescent="0.25">
      <c r="E1735" s="2"/>
      <c r="G1735" s="3"/>
      <c r="H1735" s="3"/>
      <c r="I1735" s="3"/>
      <c r="J1735" s="3"/>
      <c r="K1735" s="3"/>
      <c r="L1735" s="3"/>
      <c r="N1735" s="10"/>
      <c r="O1735" s="3"/>
      <c r="P1735" s="3"/>
      <c r="Q1735" s="3"/>
    </row>
    <row r="1736" spans="5:17" x14ac:dyDescent="0.25">
      <c r="E1736" s="2"/>
      <c r="G1736" s="3"/>
      <c r="H1736" s="3"/>
      <c r="I1736" s="3"/>
      <c r="J1736" s="3"/>
      <c r="K1736" s="3"/>
      <c r="L1736" s="3"/>
      <c r="N1736" s="10"/>
      <c r="O1736" s="3"/>
      <c r="P1736" s="3"/>
      <c r="Q1736" s="3"/>
    </row>
    <row r="1737" spans="5:17" x14ac:dyDescent="0.25">
      <c r="E1737" s="2"/>
      <c r="G1737" s="3"/>
      <c r="H1737" s="3"/>
      <c r="I1737" s="3"/>
      <c r="J1737" s="3"/>
      <c r="K1737" s="3"/>
      <c r="L1737" s="3"/>
      <c r="N1737" s="10"/>
      <c r="O1737" s="3"/>
      <c r="P1737" s="3"/>
      <c r="Q1737" s="3"/>
    </row>
    <row r="1738" spans="5:17" x14ac:dyDescent="0.25">
      <c r="E1738" s="2"/>
      <c r="G1738" s="3"/>
      <c r="H1738" s="3"/>
      <c r="I1738" s="3"/>
      <c r="J1738" s="3"/>
      <c r="K1738" s="3"/>
      <c r="L1738" s="3"/>
      <c r="N1738" s="10"/>
      <c r="O1738" s="3"/>
      <c r="P1738" s="3"/>
      <c r="Q1738" s="3"/>
    </row>
    <row r="1739" spans="5:17" x14ac:dyDescent="0.25">
      <c r="E1739" s="2"/>
      <c r="G1739" s="3"/>
      <c r="H1739" s="3"/>
      <c r="I1739" s="3"/>
      <c r="J1739" s="3"/>
      <c r="K1739" s="3"/>
      <c r="L1739" s="3"/>
      <c r="N1739" s="10"/>
      <c r="O1739" s="3"/>
      <c r="P1739" s="3"/>
      <c r="Q1739" s="3"/>
    </row>
    <row r="1740" spans="5:17" x14ac:dyDescent="0.25">
      <c r="E1740" s="2"/>
      <c r="G1740" s="3"/>
      <c r="H1740" s="3"/>
      <c r="I1740" s="3"/>
      <c r="J1740" s="3"/>
      <c r="K1740" s="3"/>
      <c r="L1740" s="3"/>
      <c r="N1740" s="10"/>
      <c r="O1740" s="3"/>
      <c r="P1740" s="3"/>
      <c r="Q1740" s="3"/>
    </row>
    <row r="1741" spans="5:17" x14ac:dyDescent="0.25">
      <c r="E1741" s="2"/>
      <c r="G1741" s="3"/>
      <c r="H1741" s="3"/>
      <c r="I1741" s="3"/>
      <c r="J1741" s="3"/>
      <c r="K1741" s="3"/>
      <c r="L1741" s="3"/>
      <c r="N1741" s="10"/>
      <c r="O1741" s="3"/>
      <c r="P1741" s="3"/>
      <c r="Q1741" s="3"/>
    </row>
    <row r="1742" spans="5:17" x14ac:dyDescent="0.25">
      <c r="E1742" s="2"/>
      <c r="G1742" s="3"/>
      <c r="H1742" s="3"/>
      <c r="I1742" s="3"/>
      <c r="J1742" s="3"/>
      <c r="K1742" s="3"/>
      <c r="L1742" s="3"/>
      <c r="N1742" s="10"/>
      <c r="O1742" s="3"/>
      <c r="P1742" s="3"/>
      <c r="Q1742" s="3"/>
    </row>
    <row r="1743" spans="5:17" x14ac:dyDescent="0.25">
      <c r="E1743" s="2"/>
      <c r="G1743" s="3"/>
      <c r="H1743" s="3"/>
      <c r="I1743" s="3"/>
      <c r="J1743" s="3"/>
      <c r="K1743" s="3"/>
      <c r="L1743" s="3"/>
      <c r="N1743" s="10"/>
      <c r="O1743" s="3"/>
      <c r="P1743" s="3"/>
      <c r="Q1743" s="3"/>
    </row>
    <row r="1744" spans="5:17" x14ac:dyDescent="0.25">
      <c r="E1744" s="2"/>
      <c r="G1744" s="3"/>
      <c r="H1744" s="3"/>
      <c r="I1744" s="3"/>
      <c r="J1744" s="3"/>
      <c r="K1744" s="3"/>
      <c r="L1744" s="3"/>
      <c r="N1744" s="10"/>
      <c r="O1744" s="3"/>
      <c r="P1744" s="3"/>
      <c r="Q1744" s="3"/>
    </row>
    <row r="1745" spans="5:17" x14ac:dyDescent="0.25">
      <c r="E1745" s="2"/>
      <c r="G1745" s="3"/>
      <c r="H1745" s="3"/>
      <c r="I1745" s="3"/>
      <c r="J1745" s="3"/>
      <c r="K1745" s="3"/>
      <c r="L1745" s="3"/>
      <c r="N1745" s="10"/>
      <c r="O1745" s="3"/>
      <c r="P1745" s="3"/>
      <c r="Q1745" s="3"/>
    </row>
    <row r="1746" spans="5:17" x14ac:dyDescent="0.25">
      <c r="E1746" s="2"/>
      <c r="G1746" s="3"/>
      <c r="H1746" s="3"/>
      <c r="I1746" s="3"/>
      <c r="J1746" s="3"/>
      <c r="K1746" s="3"/>
      <c r="L1746" s="3"/>
      <c r="N1746" s="10"/>
      <c r="O1746" s="3"/>
      <c r="P1746" s="3"/>
      <c r="Q1746" s="3"/>
    </row>
    <row r="1747" spans="5:17" x14ac:dyDescent="0.25">
      <c r="E1747" s="2"/>
      <c r="G1747" s="3"/>
      <c r="H1747" s="3"/>
      <c r="I1747" s="3"/>
      <c r="J1747" s="3"/>
      <c r="K1747" s="3"/>
      <c r="L1747" s="3"/>
      <c r="N1747" s="10"/>
      <c r="O1747" s="3"/>
      <c r="P1747" s="3"/>
      <c r="Q1747" s="3"/>
    </row>
    <row r="1748" spans="5:17" x14ac:dyDescent="0.25">
      <c r="E1748" s="2"/>
      <c r="G1748" s="3"/>
      <c r="H1748" s="3"/>
      <c r="I1748" s="3"/>
      <c r="J1748" s="3"/>
      <c r="K1748" s="3"/>
      <c r="L1748" s="3"/>
      <c r="N1748" s="10"/>
      <c r="O1748" s="3"/>
      <c r="P1748" s="3"/>
      <c r="Q1748" s="3"/>
    </row>
    <row r="1749" spans="5:17" x14ac:dyDescent="0.25">
      <c r="E1749" s="2"/>
      <c r="G1749" s="3"/>
      <c r="H1749" s="3"/>
      <c r="I1749" s="3"/>
      <c r="J1749" s="3"/>
      <c r="K1749" s="3"/>
      <c r="L1749" s="3"/>
      <c r="N1749" s="10"/>
      <c r="O1749" s="3"/>
      <c r="P1749" s="3"/>
      <c r="Q1749" s="3"/>
    </row>
    <row r="1750" spans="5:17" x14ac:dyDescent="0.25">
      <c r="E1750" s="2"/>
      <c r="G1750" s="3"/>
      <c r="H1750" s="3"/>
      <c r="I1750" s="3"/>
      <c r="J1750" s="3"/>
      <c r="K1750" s="3"/>
      <c r="L1750" s="3"/>
      <c r="N1750" s="10"/>
      <c r="O1750" s="3"/>
      <c r="P1750" s="3"/>
      <c r="Q1750" s="3"/>
    </row>
    <row r="1751" spans="5:17" x14ac:dyDescent="0.25">
      <c r="E1751" s="2"/>
      <c r="G1751" s="3"/>
      <c r="H1751" s="3"/>
      <c r="I1751" s="3"/>
      <c r="J1751" s="3"/>
      <c r="K1751" s="3"/>
      <c r="L1751" s="3"/>
      <c r="N1751" s="10"/>
      <c r="O1751" s="3"/>
      <c r="P1751" s="3"/>
      <c r="Q1751" s="3"/>
    </row>
    <row r="1752" spans="5:17" x14ac:dyDescent="0.25">
      <c r="E1752" s="2"/>
      <c r="G1752" s="3"/>
      <c r="H1752" s="3"/>
      <c r="I1752" s="3"/>
      <c r="J1752" s="3"/>
      <c r="K1752" s="3"/>
      <c r="L1752" s="3"/>
      <c r="N1752" s="10"/>
      <c r="O1752" s="3"/>
      <c r="P1752" s="3"/>
      <c r="Q1752" s="3"/>
    </row>
    <row r="1753" spans="5:17" x14ac:dyDescent="0.25">
      <c r="E1753" s="2"/>
      <c r="G1753" s="3"/>
      <c r="H1753" s="3"/>
      <c r="I1753" s="3"/>
      <c r="J1753" s="3"/>
      <c r="K1753" s="3"/>
      <c r="L1753" s="3"/>
      <c r="N1753" s="10"/>
      <c r="O1753" s="3"/>
      <c r="P1753" s="3"/>
      <c r="Q1753" s="3"/>
    </row>
    <row r="1754" spans="5:17" x14ac:dyDescent="0.25">
      <c r="E1754" s="2"/>
      <c r="G1754" s="3"/>
      <c r="H1754" s="3"/>
      <c r="I1754" s="3"/>
      <c r="J1754" s="3"/>
      <c r="K1754" s="3"/>
      <c r="L1754" s="3"/>
      <c r="N1754" s="10"/>
      <c r="O1754" s="3"/>
      <c r="P1754" s="3"/>
      <c r="Q1754" s="3"/>
    </row>
    <row r="1755" spans="5:17" x14ac:dyDescent="0.25">
      <c r="E1755" s="2"/>
      <c r="G1755" s="3"/>
      <c r="H1755" s="3"/>
      <c r="I1755" s="3"/>
      <c r="J1755" s="3"/>
      <c r="K1755" s="3"/>
      <c r="L1755" s="3"/>
      <c r="N1755" s="10"/>
      <c r="O1755" s="3"/>
      <c r="P1755" s="3"/>
      <c r="Q1755" s="3"/>
    </row>
    <row r="1756" spans="5:17" x14ac:dyDescent="0.25">
      <c r="E1756" s="2"/>
      <c r="G1756" s="3"/>
      <c r="H1756" s="3"/>
      <c r="I1756" s="3"/>
      <c r="J1756" s="3"/>
      <c r="K1756" s="3"/>
      <c r="L1756" s="3"/>
      <c r="N1756" s="10"/>
      <c r="O1756" s="3"/>
      <c r="P1756" s="3"/>
      <c r="Q1756" s="3"/>
    </row>
    <row r="1757" spans="5:17" x14ac:dyDescent="0.25">
      <c r="E1757" s="2"/>
      <c r="G1757" s="3"/>
      <c r="H1757" s="3"/>
      <c r="I1757" s="3"/>
      <c r="J1757" s="3"/>
      <c r="K1757" s="3"/>
      <c r="L1757" s="3"/>
      <c r="N1757" s="10"/>
      <c r="O1757" s="3"/>
      <c r="P1757" s="3"/>
      <c r="Q1757" s="3"/>
    </row>
    <row r="1758" spans="5:17" x14ac:dyDescent="0.25">
      <c r="E1758" s="2"/>
      <c r="G1758" s="3"/>
      <c r="H1758" s="3"/>
      <c r="I1758" s="3"/>
      <c r="J1758" s="3"/>
      <c r="K1758" s="3"/>
      <c r="L1758" s="3"/>
      <c r="N1758" s="10"/>
      <c r="O1758" s="3"/>
      <c r="P1758" s="3"/>
      <c r="Q1758" s="3"/>
    </row>
    <row r="1759" spans="5:17" x14ac:dyDescent="0.25">
      <c r="E1759" s="2"/>
      <c r="G1759" s="3"/>
      <c r="H1759" s="3"/>
      <c r="I1759" s="3"/>
      <c r="J1759" s="3"/>
      <c r="K1759" s="3"/>
      <c r="L1759" s="3"/>
      <c r="N1759" s="10"/>
      <c r="O1759" s="3"/>
      <c r="P1759" s="3"/>
      <c r="Q1759" s="3"/>
    </row>
    <row r="1760" spans="5:17" x14ac:dyDescent="0.25">
      <c r="E1760" s="2"/>
      <c r="G1760" s="3"/>
      <c r="H1760" s="3"/>
      <c r="I1760" s="3"/>
      <c r="J1760" s="3"/>
      <c r="K1760" s="3"/>
      <c r="L1760" s="3"/>
      <c r="N1760" s="10"/>
      <c r="O1760" s="3"/>
      <c r="P1760" s="3"/>
      <c r="Q1760" s="3"/>
    </row>
    <row r="1761" spans="5:17" x14ac:dyDescent="0.25">
      <c r="E1761" s="2"/>
      <c r="G1761" s="3"/>
      <c r="H1761" s="3"/>
      <c r="I1761" s="3"/>
      <c r="J1761" s="3"/>
      <c r="K1761" s="3"/>
      <c r="L1761" s="3"/>
      <c r="N1761" s="10"/>
      <c r="O1761" s="3"/>
      <c r="P1761" s="3"/>
      <c r="Q1761" s="3"/>
    </row>
    <row r="1762" spans="5:17" x14ac:dyDescent="0.25">
      <c r="E1762" s="2"/>
      <c r="G1762" s="3"/>
      <c r="H1762" s="3"/>
      <c r="I1762" s="3"/>
      <c r="J1762" s="3"/>
      <c r="K1762" s="3"/>
      <c r="L1762" s="3"/>
      <c r="N1762" s="10"/>
      <c r="O1762" s="3"/>
      <c r="P1762" s="3"/>
      <c r="Q1762" s="3"/>
    </row>
    <row r="1763" spans="5:17" x14ac:dyDescent="0.25">
      <c r="E1763" s="2"/>
      <c r="G1763" s="3"/>
      <c r="H1763" s="3"/>
      <c r="I1763" s="3"/>
      <c r="J1763" s="3"/>
      <c r="K1763" s="3"/>
      <c r="L1763" s="3"/>
      <c r="N1763" s="10"/>
      <c r="O1763" s="3"/>
      <c r="P1763" s="3"/>
      <c r="Q1763" s="3"/>
    </row>
    <row r="1764" spans="5:17" x14ac:dyDescent="0.25">
      <c r="E1764" s="2"/>
      <c r="G1764" s="3"/>
      <c r="H1764" s="3"/>
      <c r="I1764" s="3"/>
      <c r="J1764" s="3"/>
      <c r="K1764" s="3"/>
      <c r="L1764" s="3"/>
      <c r="N1764" s="10"/>
      <c r="O1764" s="3"/>
      <c r="P1764" s="3"/>
      <c r="Q1764" s="3"/>
    </row>
    <row r="1765" spans="5:17" x14ac:dyDescent="0.25">
      <c r="E1765" s="2"/>
      <c r="G1765" s="3"/>
      <c r="H1765" s="3"/>
      <c r="I1765" s="3"/>
      <c r="J1765" s="3"/>
      <c r="K1765" s="3"/>
      <c r="L1765" s="3"/>
      <c r="N1765" s="10"/>
      <c r="O1765" s="3"/>
      <c r="P1765" s="3"/>
      <c r="Q1765" s="3"/>
    </row>
    <row r="1766" spans="5:17" x14ac:dyDescent="0.25">
      <c r="E1766" s="2"/>
      <c r="G1766" s="3"/>
      <c r="H1766" s="3"/>
      <c r="I1766" s="3"/>
      <c r="J1766" s="3"/>
      <c r="K1766" s="3"/>
      <c r="L1766" s="3"/>
      <c r="N1766" s="10"/>
      <c r="O1766" s="3"/>
      <c r="P1766" s="3"/>
      <c r="Q1766" s="3"/>
    </row>
    <row r="1767" spans="5:17" x14ac:dyDescent="0.25">
      <c r="E1767" s="2"/>
      <c r="G1767" s="3"/>
      <c r="H1767" s="3"/>
      <c r="I1767" s="3"/>
      <c r="J1767" s="3"/>
      <c r="K1767" s="3"/>
      <c r="L1767" s="3"/>
      <c r="N1767" s="10"/>
      <c r="O1767" s="3"/>
      <c r="P1767" s="3"/>
      <c r="Q1767" s="3"/>
    </row>
    <row r="1768" spans="5:17" x14ac:dyDescent="0.25">
      <c r="E1768" s="2"/>
      <c r="G1768" s="3"/>
      <c r="H1768" s="3"/>
      <c r="I1768" s="3"/>
      <c r="J1768" s="3"/>
      <c r="K1768" s="3"/>
      <c r="L1768" s="3"/>
      <c r="N1768" s="10"/>
      <c r="O1768" s="3"/>
      <c r="P1768" s="3"/>
      <c r="Q1768" s="3"/>
    </row>
    <row r="1769" spans="5:17" x14ac:dyDescent="0.25">
      <c r="E1769" s="2"/>
      <c r="G1769" s="3"/>
      <c r="H1769" s="3"/>
      <c r="I1769" s="3"/>
      <c r="J1769" s="3"/>
      <c r="K1769" s="3"/>
      <c r="L1769" s="3"/>
      <c r="N1769" s="10"/>
      <c r="O1769" s="3"/>
      <c r="P1769" s="3"/>
      <c r="Q1769" s="3"/>
    </row>
    <row r="1770" spans="5:17" x14ac:dyDescent="0.25">
      <c r="E1770" s="2"/>
      <c r="G1770" s="3"/>
      <c r="H1770" s="3"/>
      <c r="I1770" s="3"/>
      <c r="J1770" s="3"/>
      <c r="K1770" s="3"/>
      <c r="L1770" s="3"/>
      <c r="N1770" s="10"/>
      <c r="O1770" s="3"/>
      <c r="P1770" s="3"/>
      <c r="Q1770" s="3"/>
    </row>
    <row r="1771" spans="5:17" x14ac:dyDescent="0.25">
      <c r="E1771" s="2"/>
      <c r="G1771" s="3"/>
      <c r="H1771" s="3"/>
      <c r="I1771" s="3"/>
      <c r="J1771" s="3"/>
      <c r="K1771" s="3"/>
      <c r="L1771" s="3"/>
      <c r="N1771" s="10"/>
      <c r="O1771" s="3"/>
      <c r="P1771" s="3"/>
      <c r="Q1771" s="3"/>
    </row>
    <row r="1772" spans="5:17" x14ac:dyDescent="0.25">
      <c r="E1772" s="2"/>
      <c r="G1772" s="3"/>
      <c r="H1772" s="3"/>
      <c r="I1772" s="3"/>
      <c r="J1772" s="3"/>
      <c r="K1772" s="3"/>
      <c r="L1772" s="3"/>
      <c r="N1772" s="10"/>
      <c r="O1772" s="3"/>
      <c r="P1772" s="3"/>
      <c r="Q1772" s="3"/>
    </row>
    <row r="1773" spans="5:17" x14ac:dyDescent="0.25">
      <c r="E1773" s="2"/>
      <c r="G1773" s="3"/>
      <c r="H1773" s="3"/>
      <c r="I1773" s="3"/>
      <c r="J1773" s="3"/>
      <c r="K1773" s="3"/>
      <c r="L1773" s="3"/>
      <c r="N1773" s="10"/>
      <c r="O1773" s="3"/>
      <c r="P1773" s="3"/>
      <c r="Q1773" s="3"/>
    </row>
    <row r="1774" spans="5:17" x14ac:dyDescent="0.25">
      <c r="E1774" s="2"/>
      <c r="G1774" s="3"/>
      <c r="H1774" s="3"/>
      <c r="I1774" s="3"/>
      <c r="J1774" s="3"/>
      <c r="K1774" s="3"/>
      <c r="L1774" s="3"/>
      <c r="N1774" s="10"/>
      <c r="O1774" s="3"/>
      <c r="P1774" s="3"/>
      <c r="Q1774" s="3"/>
    </row>
    <row r="1775" spans="5:17" x14ac:dyDescent="0.25">
      <c r="E1775" s="2"/>
      <c r="G1775" s="3"/>
      <c r="H1775" s="3"/>
      <c r="I1775" s="3"/>
      <c r="J1775" s="3"/>
      <c r="K1775" s="3"/>
      <c r="L1775" s="3"/>
      <c r="N1775" s="10"/>
      <c r="O1775" s="3"/>
      <c r="P1775" s="3"/>
      <c r="Q1775" s="3"/>
    </row>
    <row r="1776" spans="5:17" x14ac:dyDescent="0.25">
      <c r="E1776" s="2"/>
      <c r="G1776" s="3"/>
      <c r="H1776" s="3"/>
      <c r="I1776" s="3"/>
      <c r="J1776" s="3"/>
      <c r="K1776" s="3"/>
      <c r="L1776" s="3"/>
      <c r="N1776" s="10"/>
      <c r="O1776" s="3"/>
      <c r="P1776" s="3"/>
      <c r="Q1776" s="3"/>
    </row>
    <row r="1777" spans="5:17" x14ac:dyDescent="0.25">
      <c r="E1777" s="2"/>
      <c r="G1777" s="3"/>
      <c r="H1777" s="3"/>
      <c r="I1777" s="3"/>
      <c r="J1777" s="3"/>
      <c r="K1777" s="3"/>
      <c r="L1777" s="3"/>
      <c r="N1777" s="10"/>
      <c r="O1777" s="3"/>
      <c r="P1777" s="3"/>
      <c r="Q1777" s="3"/>
    </row>
    <row r="1778" spans="5:17" x14ac:dyDescent="0.25">
      <c r="E1778" s="2"/>
      <c r="G1778" s="3"/>
      <c r="H1778" s="3"/>
      <c r="I1778" s="3"/>
      <c r="J1778" s="3"/>
      <c r="K1778" s="3"/>
      <c r="L1778" s="3"/>
      <c r="N1778" s="10"/>
      <c r="O1778" s="3"/>
      <c r="P1778" s="3"/>
      <c r="Q1778" s="3"/>
    </row>
    <row r="1779" spans="5:17" x14ac:dyDescent="0.25">
      <c r="E1779" s="2"/>
      <c r="G1779" s="3"/>
      <c r="H1779" s="3"/>
      <c r="I1779" s="3"/>
      <c r="J1779" s="3"/>
      <c r="K1779" s="3"/>
      <c r="L1779" s="3"/>
      <c r="N1779" s="10"/>
      <c r="O1779" s="3"/>
      <c r="P1779" s="3"/>
      <c r="Q1779" s="3"/>
    </row>
    <row r="1780" spans="5:17" x14ac:dyDescent="0.25">
      <c r="E1780" s="2"/>
      <c r="G1780" s="3"/>
      <c r="H1780" s="3"/>
      <c r="I1780" s="3"/>
      <c r="J1780" s="3"/>
      <c r="K1780" s="3"/>
      <c r="L1780" s="3"/>
      <c r="N1780" s="10"/>
      <c r="O1780" s="3"/>
      <c r="P1780" s="3"/>
      <c r="Q1780" s="3"/>
    </row>
    <row r="1781" spans="5:17" x14ac:dyDescent="0.25">
      <c r="E1781" s="2"/>
      <c r="G1781" s="3"/>
      <c r="H1781" s="3"/>
      <c r="I1781" s="3"/>
      <c r="J1781" s="3"/>
      <c r="K1781" s="3"/>
      <c r="L1781" s="3"/>
      <c r="N1781" s="10"/>
      <c r="O1781" s="3"/>
      <c r="P1781" s="3"/>
      <c r="Q1781" s="3"/>
    </row>
    <row r="1782" spans="5:17" x14ac:dyDescent="0.25">
      <c r="E1782" s="2"/>
      <c r="G1782" s="3"/>
      <c r="H1782" s="3"/>
      <c r="I1782" s="3"/>
      <c r="J1782" s="3"/>
      <c r="K1782" s="3"/>
      <c r="L1782" s="3"/>
      <c r="N1782" s="10"/>
      <c r="O1782" s="3"/>
      <c r="P1782" s="3"/>
      <c r="Q1782" s="3"/>
    </row>
    <row r="1783" spans="5:17" x14ac:dyDescent="0.25">
      <c r="E1783" s="2"/>
      <c r="G1783" s="3"/>
      <c r="H1783" s="3"/>
      <c r="I1783" s="3"/>
      <c r="J1783" s="3"/>
      <c r="K1783" s="3"/>
      <c r="L1783" s="3"/>
      <c r="N1783" s="10"/>
      <c r="O1783" s="3"/>
      <c r="P1783" s="3"/>
      <c r="Q1783" s="3"/>
    </row>
    <row r="1784" spans="5:17" x14ac:dyDescent="0.25">
      <c r="E1784" s="2"/>
      <c r="G1784" s="3"/>
      <c r="H1784" s="3"/>
      <c r="I1784" s="3"/>
      <c r="J1784" s="3"/>
      <c r="K1784" s="3"/>
      <c r="L1784" s="3"/>
      <c r="N1784" s="10"/>
      <c r="O1784" s="3"/>
      <c r="P1784" s="3"/>
      <c r="Q1784" s="3"/>
    </row>
    <row r="1785" spans="5:17" x14ac:dyDescent="0.25">
      <c r="E1785" s="2"/>
      <c r="G1785" s="3"/>
      <c r="H1785" s="3"/>
      <c r="I1785" s="3"/>
      <c r="J1785" s="3"/>
      <c r="K1785" s="3"/>
      <c r="L1785" s="3"/>
      <c r="N1785" s="10"/>
      <c r="O1785" s="3"/>
      <c r="P1785" s="3"/>
      <c r="Q1785" s="3"/>
    </row>
    <row r="1786" spans="5:17" x14ac:dyDescent="0.25">
      <c r="E1786" s="2"/>
      <c r="G1786" s="3"/>
      <c r="H1786" s="3"/>
      <c r="I1786" s="3"/>
      <c r="J1786" s="3"/>
      <c r="K1786" s="3"/>
      <c r="L1786" s="3"/>
      <c r="N1786" s="10"/>
      <c r="O1786" s="3"/>
      <c r="P1786" s="3"/>
      <c r="Q1786" s="3"/>
    </row>
    <row r="1787" spans="5:17" x14ac:dyDescent="0.25">
      <c r="E1787" s="2"/>
      <c r="G1787" s="3"/>
      <c r="H1787" s="3"/>
      <c r="I1787" s="3"/>
      <c r="J1787" s="3"/>
      <c r="K1787" s="3"/>
      <c r="L1787" s="3"/>
      <c r="N1787" s="10"/>
      <c r="O1787" s="3"/>
      <c r="P1787" s="3"/>
      <c r="Q1787" s="3"/>
    </row>
    <row r="1788" spans="5:17" x14ac:dyDescent="0.25">
      <c r="E1788" s="2"/>
      <c r="G1788" s="3"/>
      <c r="H1788" s="3"/>
      <c r="I1788" s="3"/>
      <c r="J1788" s="3"/>
      <c r="K1788" s="3"/>
      <c r="L1788" s="3"/>
      <c r="N1788" s="10"/>
      <c r="O1788" s="3"/>
      <c r="P1788" s="3"/>
      <c r="Q1788" s="3"/>
    </row>
    <row r="1789" spans="5:17" x14ac:dyDescent="0.25">
      <c r="E1789" s="2"/>
      <c r="G1789" s="3"/>
      <c r="H1789" s="3"/>
      <c r="I1789" s="3"/>
      <c r="J1789" s="3"/>
      <c r="K1789" s="3"/>
      <c r="L1789" s="3"/>
      <c r="N1789" s="10"/>
      <c r="O1789" s="3"/>
      <c r="P1789" s="3"/>
      <c r="Q1789" s="3"/>
    </row>
    <row r="1790" spans="5:17" x14ac:dyDescent="0.25">
      <c r="E1790" s="2"/>
      <c r="G1790" s="3"/>
      <c r="H1790" s="3"/>
      <c r="I1790" s="3"/>
      <c r="J1790" s="3"/>
      <c r="K1790" s="3"/>
      <c r="L1790" s="3"/>
      <c r="N1790" s="10"/>
      <c r="O1790" s="3"/>
      <c r="P1790" s="3"/>
      <c r="Q1790" s="3"/>
    </row>
    <row r="1791" spans="5:17" x14ac:dyDescent="0.25">
      <c r="E1791" s="2"/>
      <c r="G1791" s="3"/>
      <c r="H1791" s="3"/>
      <c r="I1791" s="3"/>
      <c r="J1791" s="3"/>
      <c r="K1791" s="3"/>
      <c r="L1791" s="3"/>
      <c r="N1791" s="10"/>
      <c r="O1791" s="3"/>
      <c r="P1791" s="3"/>
      <c r="Q1791" s="3"/>
    </row>
    <row r="1792" spans="5:17" x14ac:dyDescent="0.25">
      <c r="E1792" s="2"/>
      <c r="G1792" s="3"/>
      <c r="H1792" s="3"/>
      <c r="I1792" s="3"/>
      <c r="J1792" s="3"/>
      <c r="K1792" s="3"/>
      <c r="L1792" s="3"/>
      <c r="N1792" s="10"/>
      <c r="O1792" s="3"/>
      <c r="P1792" s="3"/>
      <c r="Q1792" s="3"/>
    </row>
    <row r="1793" spans="5:17" x14ac:dyDescent="0.25">
      <c r="E1793" s="2"/>
      <c r="G1793" s="3"/>
      <c r="H1793" s="3"/>
      <c r="I1793" s="3"/>
      <c r="J1793" s="3"/>
      <c r="K1793" s="3"/>
      <c r="L1793" s="3"/>
      <c r="N1793" s="10"/>
      <c r="O1793" s="3"/>
      <c r="P1793" s="3"/>
      <c r="Q1793" s="3"/>
    </row>
    <row r="1794" spans="5:17" x14ac:dyDescent="0.25">
      <c r="E1794" s="2"/>
      <c r="G1794" s="3"/>
      <c r="H1794" s="3"/>
      <c r="I1794" s="3"/>
      <c r="J1794" s="3"/>
      <c r="K1794" s="3"/>
      <c r="L1794" s="3"/>
      <c r="N1794" s="10"/>
      <c r="O1794" s="3"/>
      <c r="P1794" s="3"/>
      <c r="Q1794" s="3"/>
    </row>
    <row r="1795" spans="5:17" x14ac:dyDescent="0.25">
      <c r="E1795" s="2"/>
      <c r="G1795" s="3"/>
      <c r="H1795" s="3"/>
      <c r="I1795" s="3"/>
      <c r="J1795" s="3"/>
      <c r="K1795" s="3"/>
      <c r="L1795" s="3"/>
      <c r="N1795" s="10"/>
      <c r="O1795" s="3"/>
      <c r="P1795" s="3"/>
      <c r="Q1795" s="3"/>
    </row>
    <row r="1796" spans="5:17" x14ac:dyDescent="0.25">
      <c r="E1796" s="2"/>
      <c r="G1796" s="3"/>
      <c r="H1796" s="3"/>
      <c r="I1796" s="3"/>
      <c r="J1796" s="3"/>
      <c r="K1796" s="3"/>
      <c r="L1796" s="3"/>
      <c r="N1796" s="10"/>
      <c r="O1796" s="3"/>
      <c r="P1796" s="3"/>
      <c r="Q1796" s="3"/>
    </row>
    <row r="1797" spans="5:17" x14ac:dyDescent="0.25">
      <c r="E1797" s="2"/>
      <c r="G1797" s="3"/>
      <c r="H1797" s="3"/>
      <c r="I1797" s="3"/>
      <c r="J1797" s="3"/>
      <c r="K1797" s="3"/>
      <c r="L1797" s="3"/>
      <c r="N1797" s="10"/>
      <c r="O1797" s="3"/>
      <c r="P1797" s="3"/>
      <c r="Q1797" s="3"/>
    </row>
    <row r="1798" spans="5:17" x14ac:dyDescent="0.25">
      <c r="E1798" s="2"/>
      <c r="G1798" s="3"/>
      <c r="H1798" s="3"/>
      <c r="I1798" s="3"/>
      <c r="J1798" s="3"/>
      <c r="K1798" s="3"/>
      <c r="L1798" s="3"/>
      <c r="N1798" s="10"/>
      <c r="O1798" s="3"/>
      <c r="P1798" s="3"/>
      <c r="Q1798" s="3"/>
    </row>
    <row r="1799" spans="5:17" x14ac:dyDescent="0.25">
      <c r="E1799" s="2"/>
      <c r="G1799" s="3"/>
      <c r="H1799" s="3"/>
      <c r="I1799" s="3"/>
      <c r="J1799" s="3"/>
      <c r="K1799" s="3"/>
      <c r="L1799" s="3"/>
      <c r="N1799" s="10"/>
      <c r="O1799" s="3"/>
      <c r="P1799" s="3"/>
      <c r="Q1799" s="3"/>
    </row>
    <row r="1800" spans="5:17" x14ac:dyDescent="0.25">
      <c r="E1800" s="2"/>
      <c r="G1800" s="3"/>
      <c r="H1800" s="3"/>
      <c r="I1800" s="3"/>
      <c r="J1800" s="3"/>
      <c r="K1800" s="3"/>
      <c r="L1800" s="3"/>
      <c r="N1800" s="10"/>
      <c r="O1800" s="3"/>
      <c r="P1800" s="3"/>
      <c r="Q1800" s="3"/>
    </row>
    <row r="1801" spans="5:17" x14ac:dyDescent="0.25">
      <c r="E1801" s="2"/>
      <c r="G1801" s="3"/>
      <c r="H1801" s="3"/>
      <c r="I1801" s="3"/>
      <c r="J1801" s="3"/>
      <c r="K1801" s="3"/>
      <c r="L1801" s="3"/>
      <c r="N1801" s="10"/>
      <c r="O1801" s="3"/>
      <c r="P1801" s="3"/>
      <c r="Q1801" s="3"/>
    </row>
    <row r="1802" spans="5:17" x14ac:dyDescent="0.25">
      <c r="E1802" s="2"/>
      <c r="G1802" s="3"/>
      <c r="H1802" s="3"/>
      <c r="I1802" s="3"/>
      <c r="J1802" s="3"/>
      <c r="K1802" s="3"/>
      <c r="L1802" s="3"/>
      <c r="N1802" s="10"/>
      <c r="O1802" s="3"/>
      <c r="P1802" s="3"/>
      <c r="Q1802" s="3"/>
    </row>
    <row r="1803" spans="5:17" x14ac:dyDescent="0.25">
      <c r="E1803" s="2"/>
      <c r="G1803" s="3"/>
      <c r="H1803" s="3"/>
      <c r="I1803" s="3"/>
      <c r="J1803" s="3"/>
      <c r="K1803" s="3"/>
      <c r="L1803" s="3"/>
      <c r="N1803" s="10"/>
      <c r="O1803" s="3"/>
      <c r="P1803" s="3"/>
      <c r="Q1803" s="3"/>
    </row>
    <row r="1804" spans="5:17" x14ac:dyDescent="0.25">
      <c r="E1804" s="2"/>
      <c r="G1804" s="3"/>
      <c r="H1804" s="3"/>
      <c r="I1804" s="3"/>
      <c r="J1804" s="3"/>
      <c r="K1804" s="3"/>
      <c r="L1804" s="3"/>
      <c r="N1804" s="10"/>
      <c r="O1804" s="3"/>
      <c r="P1804" s="3"/>
      <c r="Q1804" s="3"/>
    </row>
    <row r="1805" spans="5:17" x14ac:dyDescent="0.25">
      <c r="E1805" s="2"/>
      <c r="G1805" s="3"/>
      <c r="H1805" s="3"/>
      <c r="I1805" s="3"/>
      <c r="J1805" s="3"/>
      <c r="K1805" s="3"/>
      <c r="L1805" s="3"/>
      <c r="N1805" s="10"/>
      <c r="O1805" s="3"/>
      <c r="P1805" s="3"/>
      <c r="Q1805" s="3"/>
    </row>
    <row r="1806" spans="5:17" x14ac:dyDescent="0.25">
      <c r="E1806" s="2"/>
      <c r="G1806" s="3"/>
      <c r="H1806" s="3"/>
      <c r="I1806" s="3"/>
      <c r="J1806" s="3"/>
      <c r="K1806" s="3"/>
      <c r="L1806" s="3"/>
      <c r="N1806" s="10"/>
      <c r="O1806" s="3"/>
      <c r="P1806" s="3"/>
      <c r="Q1806" s="3"/>
    </row>
    <row r="1807" spans="5:17" x14ac:dyDescent="0.25">
      <c r="E1807" s="2"/>
      <c r="G1807" s="3"/>
      <c r="H1807" s="3"/>
      <c r="I1807" s="3"/>
      <c r="J1807" s="3"/>
      <c r="K1807" s="3"/>
      <c r="L1807" s="3"/>
      <c r="N1807" s="10"/>
      <c r="O1807" s="3"/>
      <c r="P1807" s="3"/>
      <c r="Q1807" s="3"/>
    </row>
    <row r="1808" spans="5:17" x14ac:dyDescent="0.25">
      <c r="E1808" s="2"/>
      <c r="G1808" s="3"/>
      <c r="H1808" s="3"/>
      <c r="I1808" s="3"/>
      <c r="J1808" s="3"/>
      <c r="K1808" s="3"/>
      <c r="L1808" s="3"/>
      <c r="N1808" s="10"/>
      <c r="O1808" s="3"/>
      <c r="P1808" s="3"/>
      <c r="Q1808" s="3"/>
    </row>
    <row r="1809" spans="5:17" x14ac:dyDescent="0.25">
      <c r="E1809" s="2"/>
      <c r="G1809" s="3"/>
      <c r="H1809" s="3"/>
      <c r="I1809" s="3"/>
      <c r="J1809" s="3"/>
      <c r="K1809" s="3"/>
      <c r="L1809" s="3"/>
      <c r="N1809" s="10"/>
      <c r="O1809" s="3"/>
      <c r="P1809" s="3"/>
      <c r="Q1809" s="3"/>
    </row>
    <row r="1810" spans="5:17" x14ac:dyDescent="0.25">
      <c r="E1810" s="2"/>
      <c r="G1810" s="3"/>
      <c r="H1810" s="3"/>
      <c r="I1810" s="3"/>
      <c r="J1810" s="3"/>
      <c r="K1810" s="3"/>
      <c r="L1810" s="3"/>
      <c r="N1810" s="10"/>
      <c r="O1810" s="3"/>
      <c r="P1810" s="3"/>
      <c r="Q1810" s="3"/>
    </row>
    <row r="1811" spans="5:17" x14ac:dyDescent="0.25">
      <c r="E1811" s="2"/>
      <c r="G1811" s="3"/>
      <c r="H1811" s="3"/>
      <c r="I1811" s="3"/>
      <c r="J1811" s="3"/>
      <c r="K1811" s="3"/>
      <c r="L1811" s="3"/>
      <c r="N1811" s="10"/>
      <c r="O1811" s="3"/>
      <c r="P1811" s="3"/>
      <c r="Q1811" s="3"/>
    </row>
    <row r="1812" spans="5:17" x14ac:dyDescent="0.25">
      <c r="E1812" s="2"/>
      <c r="G1812" s="3"/>
      <c r="H1812" s="3"/>
      <c r="I1812" s="3"/>
      <c r="J1812" s="3"/>
      <c r="K1812" s="3"/>
      <c r="L1812" s="3"/>
      <c r="N1812" s="10"/>
      <c r="O1812" s="3"/>
      <c r="P1812" s="3"/>
      <c r="Q1812" s="3"/>
    </row>
    <row r="1813" spans="5:17" x14ac:dyDescent="0.25">
      <c r="E1813" s="2"/>
      <c r="G1813" s="3"/>
      <c r="H1813" s="3"/>
      <c r="I1813" s="3"/>
      <c r="J1813" s="3"/>
      <c r="K1813" s="3"/>
      <c r="L1813" s="3"/>
      <c r="N1813" s="10"/>
      <c r="O1813" s="3"/>
      <c r="P1813" s="3"/>
      <c r="Q1813" s="3"/>
    </row>
    <row r="1814" spans="5:17" x14ac:dyDescent="0.25">
      <c r="E1814" s="2"/>
      <c r="G1814" s="3"/>
      <c r="H1814" s="3"/>
      <c r="I1814" s="3"/>
      <c r="J1814" s="3"/>
      <c r="K1814" s="3"/>
      <c r="L1814" s="3"/>
      <c r="N1814" s="10"/>
      <c r="O1814" s="3"/>
      <c r="P1814" s="3"/>
      <c r="Q1814" s="3"/>
    </row>
    <row r="1815" spans="5:17" x14ac:dyDescent="0.25">
      <c r="E1815" s="2"/>
      <c r="G1815" s="3"/>
      <c r="H1815" s="3"/>
      <c r="I1815" s="3"/>
      <c r="J1815" s="3"/>
      <c r="K1815" s="3"/>
      <c r="L1815" s="3"/>
      <c r="N1815" s="10"/>
      <c r="O1815" s="3"/>
      <c r="P1815" s="3"/>
      <c r="Q1815" s="3"/>
    </row>
    <row r="1816" spans="5:17" x14ac:dyDescent="0.25">
      <c r="E1816" s="2"/>
      <c r="G1816" s="3"/>
      <c r="H1816" s="3"/>
      <c r="I1816" s="3"/>
      <c r="J1816" s="3"/>
      <c r="K1816" s="3"/>
      <c r="L1816" s="3"/>
      <c r="N1816" s="10"/>
      <c r="O1816" s="3"/>
      <c r="P1816" s="3"/>
      <c r="Q1816" s="3"/>
    </row>
    <row r="1817" spans="5:17" x14ac:dyDescent="0.25">
      <c r="E1817" s="2"/>
      <c r="G1817" s="3"/>
      <c r="H1817" s="3"/>
      <c r="I1817" s="3"/>
      <c r="J1817" s="3"/>
      <c r="K1817" s="3"/>
      <c r="L1817" s="3"/>
      <c r="N1817" s="10"/>
      <c r="O1817" s="3"/>
      <c r="P1817" s="3"/>
      <c r="Q1817" s="3"/>
    </row>
    <row r="1818" spans="5:17" x14ac:dyDescent="0.25">
      <c r="E1818" s="2"/>
      <c r="G1818" s="3"/>
      <c r="H1818" s="3"/>
      <c r="I1818" s="3"/>
      <c r="J1818" s="3"/>
      <c r="K1818" s="3"/>
      <c r="L1818" s="3"/>
      <c r="N1818" s="10"/>
      <c r="O1818" s="3"/>
      <c r="P1818" s="3"/>
      <c r="Q1818" s="3"/>
    </row>
    <row r="1819" spans="5:17" x14ac:dyDescent="0.25">
      <c r="E1819" s="2"/>
      <c r="G1819" s="3"/>
      <c r="H1819" s="3"/>
      <c r="I1819" s="3"/>
      <c r="J1819" s="3"/>
      <c r="K1819" s="3"/>
      <c r="L1819" s="3"/>
      <c r="N1819" s="10"/>
      <c r="O1819" s="3"/>
      <c r="P1819" s="3"/>
      <c r="Q1819" s="3"/>
    </row>
    <row r="1820" spans="5:17" x14ac:dyDescent="0.25">
      <c r="E1820" s="2"/>
      <c r="G1820" s="3"/>
      <c r="H1820" s="3"/>
      <c r="I1820" s="3"/>
      <c r="J1820" s="3"/>
      <c r="K1820" s="3"/>
      <c r="L1820" s="3"/>
      <c r="N1820" s="10"/>
      <c r="O1820" s="3"/>
      <c r="P1820" s="3"/>
      <c r="Q1820" s="3"/>
    </row>
    <row r="1821" spans="5:17" x14ac:dyDescent="0.25">
      <c r="E1821" s="2"/>
      <c r="G1821" s="3"/>
      <c r="H1821" s="3"/>
      <c r="I1821" s="3"/>
      <c r="J1821" s="3"/>
      <c r="K1821" s="3"/>
      <c r="L1821" s="3"/>
      <c r="N1821" s="10"/>
      <c r="O1821" s="3"/>
      <c r="P1821" s="3"/>
      <c r="Q1821" s="3"/>
    </row>
    <row r="1822" spans="5:17" x14ac:dyDescent="0.25">
      <c r="E1822" s="2"/>
      <c r="G1822" s="3"/>
      <c r="H1822" s="3"/>
      <c r="I1822" s="3"/>
      <c r="J1822" s="3"/>
      <c r="K1822" s="3"/>
      <c r="L1822" s="3"/>
      <c r="N1822" s="10"/>
      <c r="O1822" s="3"/>
      <c r="P1822" s="3"/>
      <c r="Q1822" s="3"/>
    </row>
    <row r="1823" spans="5:17" x14ac:dyDescent="0.25">
      <c r="E1823" s="2"/>
      <c r="G1823" s="3"/>
      <c r="H1823" s="3"/>
      <c r="I1823" s="3"/>
      <c r="J1823" s="3"/>
      <c r="K1823" s="3"/>
      <c r="L1823" s="3"/>
      <c r="N1823" s="10"/>
      <c r="O1823" s="3"/>
      <c r="P1823" s="3"/>
      <c r="Q1823" s="3"/>
    </row>
    <row r="1824" spans="5:17" x14ac:dyDescent="0.25">
      <c r="E1824" s="2"/>
      <c r="G1824" s="3"/>
      <c r="H1824" s="3"/>
      <c r="I1824" s="3"/>
      <c r="J1824" s="3"/>
      <c r="K1824" s="3"/>
      <c r="L1824" s="3"/>
      <c r="N1824" s="10"/>
      <c r="O1824" s="3"/>
      <c r="P1824" s="3"/>
      <c r="Q1824" s="3"/>
    </row>
    <row r="1825" spans="5:17" x14ac:dyDescent="0.25">
      <c r="E1825" s="2"/>
      <c r="G1825" s="3"/>
      <c r="H1825" s="3"/>
      <c r="I1825" s="3"/>
      <c r="J1825" s="3"/>
      <c r="K1825" s="3"/>
      <c r="L1825" s="3"/>
      <c r="N1825" s="10"/>
      <c r="O1825" s="3"/>
      <c r="P1825" s="3"/>
      <c r="Q1825" s="3"/>
    </row>
    <row r="1826" spans="5:17" x14ac:dyDescent="0.25">
      <c r="E1826" s="2"/>
      <c r="G1826" s="3"/>
      <c r="H1826" s="3"/>
      <c r="I1826" s="3"/>
      <c r="J1826" s="3"/>
      <c r="K1826" s="3"/>
      <c r="L1826" s="3"/>
      <c r="N1826" s="10"/>
      <c r="O1826" s="3"/>
      <c r="P1826" s="3"/>
      <c r="Q1826" s="3"/>
    </row>
    <row r="1827" spans="5:17" x14ac:dyDescent="0.25">
      <c r="E1827" s="2"/>
      <c r="G1827" s="3"/>
      <c r="H1827" s="3"/>
      <c r="I1827" s="3"/>
      <c r="J1827" s="3"/>
      <c r="K1827" s="3"/>
      <c r="L1827" s="3"/>
      <c r="N1827" s="10"/>
      <c r="O1827" s="3"/>
      <c r="P1827" s="3"/>
      <c r="Q1827" s="3"/>
    </row>
    <row r="1828" spans="5:17" x14ac:dyDescent="0.25">
      <c r="E1828" s="2"/>
      <c r="G1828" s="3"/>
      <c r="H1828" s="3"/>
      <c r="I1828" s="3"/>
      <c r="J1828" s="3"/>
      <c r="K1828" s="3"/>
      <c r="L1828" s="3"/>
      <c r="N1828" s="10"/>
      <c r="O1828" s="3"/>
      <c r="P1828" s="3"/>
      <c r="Q1828" s="3"/>
    </row>
    <row r="1829" spans="5:17" x14ac:dyDescent="0.25">
      <c r="E1829" s="2"/>
      <c r="G1829" s="3"/>
      <c r="H1829" s="3"/>
      <c r="I1829" s="3"/>
      <c r="J1829" s="3"/>
      <c r="K1829" s="3"/>
      <c r="L1829" s="3"/>
      <c r="N1829" s="10"/>
      <c r="O1829" s="3"/>
      <c r="P1829" s="3"/>
      <c r="Q1829" s="3"/>
    </row>
    <row r="1830" spans="5:17" x14ac:dyDescent="0.25">
      <c r="E1830" s="2"/>
      <c r="G1830" s="3"/>
      <c r="H1830" s="3"/>
      <c r="I1830" s="3"/>
      <c r="J1830" s="3"/>
      <c r="K1830" s="3"/>
      <c r="L1830" s="3"/>
      <c r="N1830" s="10"/>
      <c r="O1830" s="3"/>
      <c r="P1830" s="3"/>
      <c r="Q1830" s="3"/>
    </row>
    <row r="1831" spans="5:17" x14ac:dyDescent="0.25">
      <c r="E1831" s="2"/>
      <c r="G1831" s="3"/>
      <c r="H1831" s="3"/>
      <c r="I1831" s="3"/>
      <c r="J1831" s="3"/>
      <c r="K1831" s="3"/>
      <c r="L1831" s="3"/>
      <c r="N1831" s="10"/>
      <c r="O1831" s="3"/>
      <c r="P1831" s="3"/>
      <c r="Q1831" s="3"/>
    </row>
    <row r="1832" spans="5:17" x14ac:dyDescent="0.25">
      <c r="E1832" s="2"/>
      <c r="G1832" s="3"/>
      <c r="H1832" s="3"/>
      <c r="I1832" s="3"/>
      <c r="J1832" s="3"/>
      <c r="K1832" s="3"/>
      <c r="L1832" s="3"/>
      <c r="N1832" s="10"/>
      <c r="O1832" s="3"/>
      <c r="P1832" s="3"/>
      <c r="Q1832" s="3"/>
    </row>
    <row r="1833" spans="5:17" x14ac:dyDescent="0.25">
      <c r="E1833" s="2"/>
      <c r="G1833" s="3"/>
      <c r="H1833" s="3"/>
      <c r="I1833" s="3"/>
      <c r="J1833" s="3"/>
      <c r="K1833" s="3"/>
      <c r="L1833" s="3"/>
      <c r="N1833" s="10"/>
      <c r="O1833" s="3"/>
      <c r="P1833" s="3"/>
      <c r="Q1833" s="3"/>
    </row>
    <row r="1834" spans="5:17" x14ac:dyDescent="0.25">
      <c r="E1834" s="2"/>
      <c r="G1834" s="3"/>
      <c r="H1834" s="3"/>
      <c r="I1834" s="3"/>
      <c r="J1834" s="3"/>
      <c r="K1834" s="3"/>
      <c r="L1834" s="3"/>
      <c r="N1834" s="10"/>
      <c r="O1834" s="3"/>
      <c r="P1834" s="3"/>
      <c r="Q1834" s="3"/>
    </row>
    <row r="1835" spans="5:17" x14ac:dyDescent="0.25">
      <c r="E1835" s="2"/>
      <c r="G1835" s="3"/>
      <c r="H1835" s="3"/>
      <c r="I1835" s="3"/>
      <c r="J1835" s="3"/>
      <c r="K1835" s="3"/>
      <c r="L1835" s="3"/>
      <c r="N1835" s="10"/>
      <c r="O1835" s="3"/>
      <c r="P1835" s="3"/>
      <c r="Q1835" s="3"/>
    </row>
    <row r="1836" spans="5:17" x14ac:dyDescent="0.25">
      <c r="E1836" s="2"/>
      <c r="G1836" s="3"/>
      <c r="H1836" s="3"/>
      <c r="I1836" s="3"/>
      <c r="J1836" s="3"/>
      <c r="K1836" s="3"/>
      <c r="L1836" s="3"/>
      <c r="N1836" s="10"/>
      <c r="O1836" s="3"/>
      <c r="P1836" s="3"/>
      <c r="Q1836" s="3"/>
    </row>
    <row r="1837" spans="5:17" x14ac:dyDescent="0.25">
      <c r="E1837" s="2"/>
      <c r="G1837" s="3"/>
      <c r="H1837" s="3"/>
      <c r="I1837" s="3"/>
      <c r="J1837" s="3"/>
      <c r="K1837" s="3"/>
      <c r="L1837" s="3"/>
      <c r="N1837" s="10"/>
      <c r="O1837" s="3"/>
      <c r="P1837" s="3"/>
      <c r="Q1837" s="3"/>
    </row>
    <row r="1838" spans="5:17" x14ac:dyDescent="0.25">
      <c r="E1838" s="2"/>
      <c r="G1838" s="3"/>
      <c r="H1838" s="3"/>
      <c r="I1838" s="3"/>
      <c r="J1838" s="3"/>
      <c r="K1838" s="3"/>
      <c r="L1838" s="3"/>
      <c r="N1838" s="10"/>
      <c r="O1838" s="3"/>
      <c r="P1838" s="3"/>
      <c r="Q1838" s="3"/>
    </row>
    <row r="1839" spans="5:17" x14ac:dyDescent="0.25">
      <c r="E1839" s="2"/>
      <c r="G1839" s="3"/>
      <c r="H1839" s="3"/>
      <c r="I1839" s="3"/>
      <c r="J1839" s="3"/>
      <c r="K1839" s="3"/>
      <c r="L1839" s="3"/>
      <c r="N1839" s="10"/>
      <c r="O1839" s="3"/>
      <c r="P1839" s="3"/>
      <c r="Q1839" s="3"/>
    </row>
    <row r="1840" spans="5:17" x14ac:dyDescent="0.25">
      <c r="E1840" s="2"/>
      <c r="G1840" s="3"/>
      <c r="H1840" s="3"/>
      <c r="I1840" s="3"/>
      <c r="J1840" s="3"/>
      <c r="K1840" s="3"/>
      <c r="L1840" s="3"/>
      <c r="N1840" s="10"/>
      <c r="O1840" s="3"/>
      <c r="P1840" s="3"/>
      <c r="Q1840" s="3"/>
    </row>
    <row r="1841" spans="5:17" x14ac:dyDescent="0.25">
      <c r="E1841" s="2"/>
      <c r="G1841" s="3"/>
      <c r="H1841" s="3"/>
      <c r="I1841" s="3"/>
      <c r="J1841" s="3"/>
      <c r="K1841" s="3"/>
      <c r="L1841" s="3"/>
      <c r="N1841" s="10"/>
      <c r="O1841" s="3"/>
      <c r="P1841" s="3"/>
      <c r="Q1841" s="3"/>
    </row>
    <row r="1842" spans="5:17" x14ac:dyDescent="0.25">
      <c r="E1842" s="2"/>
      <c r="G1842" s="3"/>
      <c r="H1842" s="3"/>
      <c r="I1842" s="3"/>
      <c r="J1842" s="3"/>
      <c r="K1842" s="3"/>
      <c r="L1842" s="3"/>
      <c r="N1842" s="10"/>
      <c r="O1842" s="3"/>
      <c r="P1842" s="3"/>
      <c r="Q1842" s="3"/>
    </row>
    <row r="1843" spans="5:17" x14ac:dyDescent="0.25">
      <c r="E1843" s="2"/>
      <c r="G1843" s="3"/>
      <c r="H1843" s="3"/>
      <c r="I1843" s="3"/>
      <c r="J1843" s="3"/>
      <c r="K1843" s="3"/>
      <c r="L1843" s="3"/>
      <c r="N1843" s="10"/>
      <c r="O1843" s="3"/>
      <c r="P1843" s="3"/>
      <c r="Q1843" s="3"/>
    </row>
    <row r="1844" spans="5:17" x14ac:dyDescent="0.25">
      <c r="E1844" s="2"/>
      <c r="G1844" s="3"/>
      <c r="H1844" s="3"/>
      <c r="I1844" s="3"/>
      <c r="J1844" s="3"/>
      <c r="K1844" s="3"/>
      <c r="L1844" s="3"/>
      <c r="N1844" s="10"/>
      <c r="O1844" s="3"/>
      <c r="P1844" s="3"/>
      <c r="Q1844" s="3"/>
    </row>
    <row r="1845" spans="5:17" x14ac:dyDescent="0.25">
      <c r="E1845" s="2"/>
      <c r="G1845" s="3"/>
      <c r="H1845" s="3"/>
      <c r="I1845" s="3"/>
      <c r="J1845" s="3"/>
      <c r="K1845" s="3"/>
      <c r="L1845" s="3"/>
      <c r="N1845" s="10"/>
      <c r="O1845" s="3"/>
      <c r="P1845" s="3"/>
      <c r="Q1845" s="3"/>
    </row>
    <row r="1846" spans="5:17" x14ac:dyDescent="0.25">
      <c r="E1846" s="2"/>
      <c r="G1846" s="3"/>
      <c r="H1846" s="3"/>
      <c r="I1846" s="3"/>
      <c r="J1846" s="3"/>
      <c r="K1846" s="3"/>
      <c r="L1846" s="3"/>
      <c r="N1846" s="10"/>
      <c r="O1846" s="3"/>
      <c r="P1846" s="3"/>
      <c r="Q1846" s="3"/>
    </row>
    <row r="1847" spans="5:17" x14ac:dyDescent="0.25">
      <c r="E1847" s="2"/>
      <c r="G1847" s="3"/>
      <c r="H1847" s="3"/>
      <c r="I1847" s="3"/>
      <c r="J1847" s="3"/>
      <c r="K1847" s="3"/>
      <c r="L1847" s="3"/>
      <c r="N1847" s="10"/>
      <c r="O1847" s="3"/>
      <c r="P1847" s="3"/>
      <c r="Q1847" s="3"/>
    </row>
    <row r="1848" spans="5:17" x14ac:dyDescent="0.25">
      <c r="E1848" s="2"/>
      <c r="G1848" s="3"/>
      <c r="H1848" s="3"/>
      <c r="I1848" s="3"/>
      <c r="J1848" s="3"/>
      <c r="K1848" s="3"/>
      <c r="L1848" s="3"/>
      <c r="N1848" s="10"/>
      <c r="O1848" s="3"/>
      <c r="P1848" s="3"/>
      <c r="Q1848" s="3"/>
    </row>
    <row r="1849" spans="5:17" x14ac:dyDescent="0.25">
      <c r="E1849" s="2"/>
      <c r="G1849" s="3"/>
      <c r="H1849" s="3"/>
      <c r="I1849" s="3"/>
      <c r="J1849" s="3"/>
      <c r="K1849" s="3"/>
      <c r="L1849" s="3"/>
      <c r="N1849" s="10"/>
      <c r="O1849" s="3"/>
      <c r="P1849" s="3"/>
      <c r="Q1849" s="3"/>
    </row>
    <row r="1850" spans="5:17" x14ac:dyDescent="0.25">
      <c r="E1850" s="2"/>
      <c r="G1850" s="3"/>
      <c r="H1850" s="3"/>
      <c r="I1850" s="3"/>
      <c r="J1850" s="3"/>
      <c r="K1850" s="3"/>
      <c r="L1850" s="3"/>
      <c r="N1850" s="10"/>
      <c r="O1850" s="3"/>
      <c r="P1850" s="3"/>
      <c r="Q1850" s="3"/>
    </row>
    <row r="1851" spans="5:17" x14ac:dyDescent="0.25">
      <c r="E1851" s="2"/>
      <c r="G1851" s="3"/>
      <c r="H1851" s="3"/>
      <c r="I1851" s="3"/>
      <c r="J1851" s="3"/>
      <c r="K1851" s="3"/>
      <c r="L1851" s="3"/>
      <c r="N1851" s="10"/>
      <c r="O1851" s="3"/>
      <c r="P1851" s="3"/>
      <c r="Q1851" s="3"/>
    </row>
    <row r="1852" spans="5:17" x14ac:dyDescent="0.25">
      <c r="E1852" s="2"/>
      <c r="G1852" s="3"/>
      <c r="H1852" s="3"/>
      <c r="I1852" s="3"/>
      <c r="J1852" s="3"/>
      <c r="K1852" s="3"/>
      <c r="L1852" s="3"/>
      <c r="N1852" s="10"/>
      <c r="O1852" s="3"/>
      <c r="P1852" s="3"/>
      <c r="Q1852" s="3"/>
    </row>
    <row r="1853" spans="5:17" x14ac:dyDescent="0.25">
      <c r="E1853" s="2"/>
      <c r="G1853" s="3"/>
      <c r="H1853" s="3"/>
      <c r="I1853" s="3"/>
      <c r="J1853" s="3"/>
      <c r="K1853" s="3"/>
      <c r="L1853" s="3"/>
      <c r="N1853" s="10"/>
      <c r="O1853" s="3"/>
      <c r="P1853" s="3"/>
      <c r="Q1853" s="3"/>
    </row>
    <row r="1854" spans="5:17" x14ac:dyDescent="0.25">
      <c r="E1854" s="2"/>
      <c r="G1854" s="3"/>
      <c r="H1854" s="3"/>
      <c r="I1854" s="3"/>
      <c r="J1854" s="3"/>
      <c r="K1854" s="3"/>
      <c r="L1854" s="3"/>
      <c r="N1854" s="10"/>
      <c r="O1854" s="3"/>
      <c r="P1854" s="3"/>
      <c r="Q1854" s="3"/>
    </row>
    <row r="1855" spans="5:17" x14ac:dyDescent="0.25">
      <c r="E1855" s="2"/>
      <c r="G1855" s="3"/>
      <c r="H1855" s="3"/>
      <c r="I1855" s="3"/>
      <c r="J1855" s="3"/>
      <c r="K1855" s="3"/>
      <c r="L1855" s="3"/>
      <c r="N1855" s="10"/>
      <c r="O1855" s="3"/>
      <c r="P1855" s="3"/>
      <c r="Q1855" s="3"/>
    </row>
    <row r="1856" spans="5:17" x14ac:dyDescent="0.25">
      <c r="E1856" s="2"/>
      <c r="G1856" s="3"/>
      <c r="H1856" s="3"/>
      <c r="I1856" s="3"/>
      <c r="J1856" s="3"/>
      <c r="K1856" s="3"/>
      <c r="L1856" s="3"/>
      <c r="N1856" s="10"/>
      <c r="O1856" s="3"/>
      <c r="P1856" s="3"/>
      <c r="Q1856" s="3"/>
    </row>
    <row r="1857" spans="5:17" x14ac:dyDescent="0.25">
      <c r="E1857" s="2"/>
      <c r="G1857" s="3"/>
      <c r="H1857" s="3"/>
      <c r="I1857" s="3"/>
      <c r="J1857" s="3"/>
      <c r="K1857" s="3"/>
      <c r="L1857" s="3"/>
      <c r="N1857" s="10"/>
      <c r="O1857" s="3"/>
      <c r="P1857" s="3"/>
      <c r="Q1857" s="3"/>
    </row>
    <row r="1858" spans="5:17" x14ac:dyDescent="0.25">
      <c r="E1858" s="2"/>
      <c r="G1858" s="3"/>
      <c r="H1858" s="3"/>
      <c r="I1858" s="3"/>
      <c r="J1858" s="3"/>
      <c r="K1858" s="3"/>
      <c r="L1858" s="3"/>
      <c r="N1858" s="10"/>
      <c r="O1858" s="3"/>
      <c r="P1858" s="3"/>
      <c r="Q1858" s="3"/>
    </row>
    <row r="1859" spans="5:17" x14ac:dyDescent="0.25">
      <c r="E1859" s="2"/>
      <c r="G1859" s="3"/>
      <c r="H1859" s="3"/>
      <c r="I1859" s="3"/>
      <c r="J1859" s="3"/>
      <c r="K1859" s="3"/>
      <c r="L1859" s="3"/>
      <c r="N1859" s="10"/>
      <c r="O1859" s="3"/>
      <c r="P1859" s="3"/>
      <c r="Q1859" s="3"/>
    </row>
    <row r="1860" spans="5:17" x14ac:dyDescent="0.25">
      <c r="E1860" s="2"/>
      <c r="G1860" s="3"/>
      <c r="H1860" s="3"/>
      <c r="I1860" s="3"/>
      <c r="J1860" s="3"/>
      <c r="K1860" s="3"/>
      <c r="L1860" s="3"/>
      <c r="N1860" s="10"/>
      <c r="O1860" s="3"/>
      <c r="P1860" s="3"/>
      <c r="Q1860" s="3"/>
    </row>
    <row r="1861" spans="5:17" x14ac:dyDescent="0.25">
      <c r="E1861" s="2"/>
      <c r="G1861" s="3"/>
      <c r="H1861" s="3"/>
      <c r="I1861" s="3"/>
      <c r="J1861" s="3"/>
      <c r="K1861" s="3"/>
      <c r="L1861" s="3"/>
      <c r="N1861" s="10"/>
      <c r="O1861" s="3"/>
      <c r="P1861" s="3"/>
      <c r="Q1861" s="3"/>
    </row>
    <row r="1862" spans="5:17" x14ac:dyDescent="0.25">
      <c r="E1862" s="2"/>
      <c r="G1862" s="3"/>
      <c r="H1862" s="3"/>
      <c r="I1862" s="3"/>
      <c r="J1862" s="3"/>
      <c r="K1862" s="3"/>
      <c r="L1862" s="3"/>
      <c r="N1862" s="10"/>
      <c r="O1862" s="3"/>
      <c r="P1862" s="3"/>
      <c r="Q1862" s="3"/>
    </row>
    <row r="1863" spans="5:17" x14ac:dyDescent="0.25">
      <c r="E1863" s="2"/>
      <c r="G1863" s="3"/>
      <c r="H1863" s="3"/>
      <c r="I1863" s="3"/>
      <c r="J1863" s="3"/>
      <c r="K1863" s="3"/>
      <c r="L1863" s="3"/>
      <c r="N1863" s="10"/>
      <c r="O1863" s="3"/>
      <c r="P1863" s="3"/>
      <c r="Q1863" s="3"/>
    </row>
    <row r="1864" spans="5:17" x14ac:dyDescent="0.25">
      <c r="E1864" s="2"/>
      <c r="G1864" s="3"/>
      <c r="H1864" s="3"/>
      <c r="I1864" s="3"/>
      <c r="J1864" s="3"/>
      <c r="K1864" s="3"/>
      <c r="L1864" s="3"/>
      <c r="N1864" s="10"/>
      <c r="O1864" s="3"/>
      <c r="P1864" s="3"/>
      <c r="Q1864" s="3"/>
    </row>
    <row r="1865" spans="5:17" x14ac:dyDescent="0.25">
      <c r="E1865" s="2"/>
      <c r="G1865" s="3"/>
      <c r="H1865" s="3"/>
      <c r="I1865" s="3"/>
      <c r="J1865" s="3"/>
      <c r="K1865" s="3"/>
      <c r="L1865" s="3"/>
      <c r="N1865" s="10"/>
      <c r="O1865" s="3"/>
      <c r="P1865" s="3"/>
      <c r="Q1865" s="3"/>
    </row>
    <row r="1866" spans="5:17" x14ac:dyDescent="0.25">
      <c r="E1866" s="2"/>
      <c r="G1866" s="3"/>
      <c r="H1866" s="3"/>
      <c r="I1866" s="3"/>
      <c r="J1866" s="3"/>
      <c r="K1866" s="3"/>
      <c r="L1866" s="3"/>
      <c r="N1866" s="10"/>
      <c r="O1866" s="3"/>
      <c r="P1866" s="3"/>
      <c r="Q1866" s="3"/>
    </row>
    <row r="1867" spans="5:17" x14ac:dyDescent="0.25">
      <c r="E1867" s="2"/>
      <c r="G1867" s="3"/>
      <c r="H1867" s="3"/>
      <c r="I1867" s="3"/>
      <c r="J1867" s="3"/>
      <c r="K1867" s="3"/>
      <c r="L1867" s="3"/>
      <c r="N1867" s="10"/>
      <c r="O1867" s="3"/>
      <c r="P1867" s="3"/>
      <c r="Q1867" s="3"/>
    </row>
    <row r="1868" spans="5:17" x14ac:dyDescent="0.25">
      <c r="E1868" s="2"/>
      <c r="G1868" s="3"/>
      <c r="H1868" s="3"/>
      <c r="I1868" s="3"/>
      <c r="J1868" s="3"/>
      <c r="K1868" s="3"/>
      <c r="L1868" s="3"/>
      <c r="N1868" s="10"/>
      <c r="O1868" s="3"/>
      <c r="P1868" s="3"/>
      <c r="Q1868" s="3"/>
    </row>
    <row r="1869" spans="5:17" x14ac:dyDescent="0.25">
      <c r="E1869" s="2"/>
      <c r="G1869" s="3"/>
      <c r="H1869" s="3"/>
      <c r="I1869" s="3"/>
      <c r="J1869" s="3"/>
      <c r="K1869" s="3"/>
      <c r="L1869" s="3"/>
      <c r="N1869" s="10"/>
      <c r="O1869" s="3"/>
      <c r="P1869" s="3"/>
      <c r="Q1869" s="3"/>
    </row>
    <row r="1870" spans="5:17" x14ac:dyDescent="0.25">
      <c r="E1870" s="2"/>
      <c r="G1870" s="3"/>
      <c r="H1870" s="3"/>
      <c r="I1870" s="3"/>
      <c r="J1870" s="3"/>
      <c r="K1870" s="3"/>
      <c r="L1870" s="3"/>
      <c r="N1870" s="10"/>
      <c r="O1870" s="3"/>
      <c r="P1870" s="3"/>
      <c r="Q1870" s="3"/>
    </row>
    <row r="1871" spans="5:17" x14ac:dyDescent="0.25">
      <c r="E1871" s="2"/>
      <c r="G1871" s="3"/>
      <c r="H1871" s="3"/>
      <c r="I1871" s="3"/>
      <c r="J1871" s="3"/>
      <c r="K1871" s="3"/>
      <c r="L1871" s="3"/>
      <c r="N1871" s="10"/>
      <c r="O1871" s="3"/>
      <c r="P1871" s="3"/>
      <c r="Q1871" s="3"/>
    </row>
    <row r="1872" spans="5:17" x14ac:dyDescent="0.25">
      <c r="E1872" s="2"/>
      <c r="G1872" s="3"/>
      <c r="H1872" s="3"/>
      <c r="I1872" s="3"/>
      <c r="J1872" s="3"/>
      <c r="K1872" s="3"/>
      <c r="L1872" s="3"/>
      <c r="N1872" s="10"/>
      <c r="O1872" s="3"/>
      <c r="P1872" s="3"/>
      <c r="Q1872" s="3"/>
    </row>
    <row r="1873" spans="5:17" x14ac:dyDescent="0.25">
      <c r="E1873" s="2"/>
      <c r="G1873" s="3"/>
      <c r="H1873" s="3"/>
      <c r="I1873" s="3"/>
      <c r="J1873" s="3"/>
      <c r="K1873" s="3"/>
      <c r="L1873" s="3"/>
      <c r="N1873" s="10"/>
      <c r="O1873" s="3"/>
      <c r="P1873" s="3"/>
      <c r="Q1873" s="3"/>
    </row>
    <row r="1874" spans="5:17" x14ac:dyDescent="0.25">
      <c r="E1874" s="2"/>
      <c r="G1874" s="3"/>
      <c r="H1874" s="3"/>
      <c r="I1874" s="3"/>
      <c r="J1874" s="3"/>
      <c r="K1874" s="3"/>
      <c r="L1874" s="3"/>
      <c r="N1874" s="10"/>
      <c r="O1874" s="3"/>
      <c r="P1874" s="3"/>
      <c r="Q1874" s="3"/>
    </row>
    <row r="1875" spans="5:17" x14ac:dyDescent="0.25">
      <c r="E1875" s="2"/>
      <c r="G1875" s="3"/>
      <c r="H1875" s="3"/>
      <c r="I1875" s="3"/>
      <c r="J1875" s="3"/>
      <c r="K1875" s="3"/>
      <c r="L1875" s="3"/>
      <c r="N1875" s="10"/>
      <c r="O1875" s="3"/>
      <c r="P1875" s="3"/>
      <c r="Q1875" s="3"/>
    </row>
    <row r="1876" spans="5:17" x14ac:dyDescent="0.25">
      <c r="E1876" s="2"/>
      <c r="G1876" s="3"/>
      <c r="H1876" s="3"/>
      <c r="I1876" s="3"/>
      <c r="J1876" s="3"/>
      <c r="K1876" s="3"/>
      <c r="L1876" s="3"/>
      <c r="N1876" s="10"/>
      <c r="O1876" s="3"/>
      <c r="P1876" s="3"/>
      <c r="Q1876" s="3"/>
    </row>
    <row r="1877" spans="5:17" x14ac:dyDescent="0.25">
      <c r="E1877" s="2"/>
      <c r="G1877" s="3"/>
      <c r="H1877" s="3"/>
      <c r="I1877" s="3"/>
      <c r="J1877" s="3"/>
      <c r="K1877" s="3"/>
      <c r="L1877" s="3"/>
      <c r="N1877" s="10"/>
      <c r="O1877" s="3"/>
      <c r="P1877" s="3"/>
      <c r="Q1877" s="3"/>
    </row>
    <row r="1878" spans="5:17" x14ac:dyDescent="0.25">
      <c r="E1878" s="2"/>
      <c r="G1878" s="3"/>
      <c r="H1878" s="3"/>
      <c r="I1878" s="3"/>
      <c r="J1878" s="3"/>
      <c r="K1878" s="3"/>
      <c r="L1878" s="3"/>
      <c r="N1878" s="10"/>
      <c r="O1878" s="3"/>
      <c r="P1878" s="3"/>
      <c r="Q1878" s="3"/>
    </row>
    <row r="1879" spans="5:17" x14ac:dyDescent="0.25">
      <c r="E1879" s="2"/>
      <c r="G1879" s="3"/>
      <c r="H1879" s="3"/>
      <c r="I1879" s="3"/>
      <c r="J1879" s="3"/>
      <c r="K1879" s="3"/>
      <c r="L1879" s="3"/>
      <c r="N1879" s="10"/>
      <c r="O1879" s="3"/>
      <c r="P1879" s="3"/>
      <c r="Q1879" s="3"/>
    </row>
    <row r="1880" spans="5:17" x14ac:dyDescent="0.25">
      <c r="E1880" s="2"/>
      <c r="G1880" s="3"/>
      <c r="H1880" s="3"/>
      <c r="I1880" s="3"/>
      <c r="J1880" s="3"/>
      <c r="K1880" s="3"/>
      <c r="L1880" s="3"/>
      <c r="N1880" s="10"/>
      <c r="O1880" s="3"/>
      <c r="P1880" s="3"/>
      <c r="Q1880" s="3"/>
    </row>
    <row r="1881" spans="5:17" x14ac:dyDescent="0.25">
      <c r="E1881" s="2"/>
      <c r="G1881" s="3"/>
      <c r="H1881" s="3"/>
      <c r="I1881" s="3"/>
      <c r="J1881" s="3"/>
      <c r="K1881" s="3"/>
      <c r="L1881" s="3"/>
      <c r="N1881" s="10"/>
      <c r="O1881" s="3"/>
      <c r="P1881" s="3"/>
      <c r="Q1881" s="3"/>
    </row>
    <row r="1882" spans="5:17" x14ac:dyDescent="0.25">
      <c r="E1882" s="2"/>
      <c r="G1882" s="3"/>
      <c r="H1882" s="3"/>
      <c r="I1882" s="3"/>
      <c r="J1882" s="3"/>
      <c r="K1882" s="3"/>
      <c r="L1882" s="3"/>
      <c r="N1882" s="10"/>
      <c r="O1882" s="3"/>
      <c r="P1882" s="3"/>
      <c r="Q1882" s="3"/>
    </row>
    <row r="1883" spans="5:17" x14ac:dyDescent="0.25">
      <c r="E1883" s="2"/>
      <c r="G1883" s="3"/>
      <c r="H1883" s="3"/>
      <c r="I1883" s="3"/>
      <c r="J1883" s="3"/>
      <c r="K1883" s="3"/>
      <c r="L1883" s="3"/>
      <c r="N1883" s="10"/>
      <c r="O1883" s="3"/>
      <c r="P1883" s="3"/>
      <c r="Q1883" s="3"/>
    </row>
    <row r="1884" spans="5:17" x14ac:dyDescent="0.25">
      <c r="E1884" s="2"/>
      <c r="G1884" s="3"/>
      <c r="H1884" s="3"/>
      <c r="I1884" s="3"/>
      <c r="J1884" s="3"/>
      <c r="K1884" s="3"/>
      <c r="L1884" s="3"/>
      <c r="N1884" s="10"/>
      <c r="O1884" s="3"/>
      <c r="P1884" s="3"/>
      <c r="Q1884" s="3"/>
    </row>
    <row r="1885" spans="5:17" x14ac:dyDescent="0.25">
      <c r="E1885" s="2"/>
      <c r="G1885" s="3"/>
      <c r="H1885" s="3"/>
      <c r="I1885" s="3"/>
      <c r="J1885" s="3"/>
      <c r="K1885" s="3"/>
      <c r="L1885" s="3"/>
      <c r="N1885" s="10"/>
      <c r="O1885" s="3"/>
      <c r="P1885" s="3"/>
      <c r="Q1885" s="3"/>
    </row>
    <row r="1886" spans="5:17" x14ac:dyDescent="0.25">
      <c r="E1886" s="2"/>
      <c r="G1886" s="3"/>
      <c r="H1886" s="3"/>
      <c r="I1886" s="3"/>
      <c r="J1886" s="3"/>
      <c r="K1886" s="3"/>
      <c r="L1886" s="3"/>
      <c r="N1886" s="10"/>
      <c r="O1886" s="3"/>
      <c r="P1886" s="3"/>
      <c r="Q1886" s="3"/>
    </row>
    <row r="1887" spans="5:17" x14ac:dyDescent="0.25">
      <c r="E1887" s="2"/>
      <c r="G1887" s="3"/>
      <c r="H1887" s="3"/>
      <c r="I1887" s="3"/>
      <c r="J1887" s="3"/>
      <c r="K1887" s="3"/>
      <c r="L1887" s="3"/>
      <c r="N1887" s="10"/>
      <c r="O1887" s="3"/>
      <c r="P1887" s="3"/>
      <c r="Q1887" s="3"/>
    </row>
    <row r="1888" spans="5:17" x14ac:dyDescent="0.25">
      <c r="E1888" s="2"/>
      <c r="G1888" s="3"/>
      <c r="H1888" s="3"/>
      <c r="I1888" s="3"/>
      <c r="J1888" s="3"/>
      <c r="K1888" s="3"/>
      <c r="L1888" s="3"/>
      <c r="N1888" s="10"/>
      <c r="O1888" s="3"/>
      <c r="P1888" s="3"/>
      <c r="Q1888" s="3"/>
    </row>
    <row r="1889" spans="5:17" x14ac:dyDescent="0.25">
      <c r="E1889" s="2"/>
      <c r="G1889" s="3"/>
      <c r="H1889" s="3"/>
      <c r="I1889" s="3"/>
      <c r="J1889" s="3"/>
      <c r="K1889" s="3"/>
      <c r="L1889" s="3"/>
      <c r="N1889" s="10"/>
      <c r="O1889" s="3"/>
      <c r="P1889" s="3"/>
      <c r="Q1889" s="3"/>
    </row>
    <row r="1890" spans="5:17" x14ac:dyDescent="0.25">
      <c r="E1890" s="2"/>
      <c r="G1890" s="3"/>
      <c r="H1890" s="3"/>
      <c r="I1890" s="3"/>
      <c r="J1890" s="3"/>
      <c r="K1890" s="3"/>
      <c r="L1890" s="3"/>
      <c r="N1890" s="10"/>
      <c r="O1890" s="3"/>
      <c r="P1890" s="3"/>
      <c r="Q1890" s="3"/>
    </row>
    <row r="1891" spans="5:17" x14ac:dyDescent="0.25">
      <c r="E1891" s="2"/>
      <c r="G1891" s="3"/>
      <c r="H1891" s="3"/>
      <c r="I1891" s="3"/>
      <c r="J1891" s="3"/>
      <c r="K1891" s="3"/>
      <c r="L1891" s="3"/>
      <c r="N1891" s="10"/>
      <c r="O1891" s="3"/>
      <c r="P1891" s="3"/>
      <c r="Q1891" s="3"/>
    </row>
    <row r="1892" spans="5:17" x14ac:dyDescent="0.25">
      <c r="E1892" s="2"/>
      <c r="G1892" s="3"/>
      <c r="H1892" s="3"/>
      <c r="I1892" s="3"/>
      <c r="J1892" s="3"/>
      <c r="K1892" s="3"/>
      <c r="L1892" s="3"/>
      <c r="N1892" s="10"/>
      <c r="O1892" s="3"/>
      <c r="P1892" s="3"/>
      <c r="Q1892" s="3"/>
    </row>
    <row r="1893" spans="5:17" x14ac:dyDescent="0.25">
      <c r="E1893" s="2"/>
      <c r="G1893" s="3"/>
      <c r="H1893" s="3"/>
      <c r="I1893" s="3"/>
      <c r="J1893" s="3"/>
      <c r="K1893" s="3"/>
      <c r="L1893" s="3"/>
      <c r="N1893" s="10"/>
      <c r="O1893" s="3"/>
      <c r="P1893" s="3"/>
      <c r="Q1893" s="3"/>
    </row>
    <row r="1894" spans="5:17" x14ac:dyDescent="0.25">
      <c r="E1894" s="2"/>
      <c r="G1894" s="3"/>
      <c r="H1894" s="3"/>
      <c r="I1894" s="3"/>
      <c r="J1894" s="3"/>
      <c r="K1894" s="3"/>
      <c r="L1894" s="3"/>
      <c r="N1894" s="10"/>
      <c r="O1894" s="3"/>
      <c r="P1894" s="3"/>
      <c r="Q1894" s="3"/>
    </row>
    <row r="1895" spans="5:17" x14ac:dyDescent="0.25">
      <c r="E1895" s="2"/>
      <c r="G1895" s="3"/>
      <c r="H1895" s="3"/>
      <c r="I1895" s="3"/>
      <c r="J1895" s="3"/>
      <c r="K1895" s="3"/>
      <c r="L1895" s="3"/>
      <c r="N1895" s="10"/>
      <c r="O1895" s="3"/>
      <c r="P1895" s="3"/>
      <c r="Q1895" s="3"/>
    </row>
    <row r="1896" spans="5:17" x14ac:dyDescent="0.25">
      <c r="E1896" s="2"/>
      <c r="G1896" s="3"/>
      <c r="H1896" s="3"/>
      <c r="I1896" s="3"/>
      <c r="J1896" s="3"/>
      <c r="K1896" s="3"/>
      <c r="L1896" s="3"/>
      <c r="N1896" s="10"/>
      <c r="O1896" s="3"/>
      <c r="P1896" s="3"/>
      <c r="Q1896" s="3"/>
    </row>
    <row r="1897" spans="5:17" x14ac:dyDescent="0.25">
      <c r="E1897" s="2"/>
      <c r="G1897" s="3"/>
      <c r="H1897" s="3"/>
      <c r="I1897" s="3"/>
      <c r="J1897" s="3"/>
      <c r="K1897" s="3"/>
      <c r="L1897" s="3"/>
      <c r="N1897" s="10"/>
      <c r="O1897" s="3"/>
      <c r="P1897" s="3"/>
      <c r="Q1897" s="3"/>
    </row>
    <row r="1898" spans="5:17" x14ac:dyDescent="0.25">
      <c r="E1898" s="2"/>
      <c r="G1898" s="3"/>
      <c r="H1898" s="3"/>
      <c r="I1898" s="3"/>
      <c r="J1898" s="3"/>
      <c r="K1898" s="3"/>
      <c r="L1898" s="3"/>
      <c r="N1898" s="10"/>
      <c r="O1898" s="3"/>
      <c r="P1898" s="3"/>
      <c r="Q1898" s="3"/>
    </row>
    <row r="1899" spans="5:17" x14ac:dyDescent="0.25">
      <c r="E1899" s="2"/>
      <c r="G1899" s="3"/>
      <c r="H1899" s="3"/>
      <c r="I1899" s="3"/>
      <c r="J1899" s="3"/>
      <c r="K1899" s="3"/>
      <c r="L1899" s="3"/>
      <c r="N1899" s="10"/>
      <c r="O1899" s="3"/>
      <c r="P1899" s="3"/>
      <c r="Q1899" s="3"/>
    </row>
    <row r="1900" spans="5:17" x14ac:dyDescent="0.25">
      <c r="E1900" s="2"/>
      <c r="G1900" s="3"/>
      <c r="H1900" s="3"/>
      <c r="I1900" s="3"/>
      <c r="J1900" s="3"/>
      <c r="K1900" s="3"/>
      <c r="L1900" s="3"/>
      <c r="N1900" s="10"/>
      <c r="O1900" s="3"/>
      <c r="P1900" s="3"/>
      <c r="Q1900" s="3"/>
    </row>
    <row r="1901" spans="5:17" x14ac:dyDescent="0.25">
      <c r="E1901" s="2"/>
      <c r="G1901" s="3"/>
      <c r="H1901" s="3"/>
      <c r="I1901" s="3"/>
      <c r="J1901" s="3"/>
      <c r="K1901" s="3"/>
      <c r="L1901" s="3"/>
      <c r="N1901" s="10"/>
      <c r="O1901" s="3"/>
      <c r="P1901" s="3"/>
      <c r="Q1901" s="3"/>
    </row>
    <row r="1902" spans="5:17" x14ac:dyDescent="0.25">
      <c r="E1902" s="2"/>
      <c r="G1902" s="3"/>
      <c r="H1902" s="3"/>
      <c r="I1902" s="3"/>
      <c r="J1902" s="3"/>
      <c r="K1902" s="3"/>
      <c r="L1902" s="3"/>
      <c r="N1902" s="10"/>
      <c r="O1902" s="3"/>
      <c r="P1902" s="3"/>
      <c r="Q1902" s="3"/>
    </row>
    <row r="1903" spans="5:17" x14ac:dyDescent="0.25">
      <c r="E1903" s="2"/>
      <c r="G1903" s="3"/>
      <c r="H1903" s="3"/>
      <c r="I1903" s="3"/>
      <c r="J1903" s="3"/>
      <c r="K1903" s="3"/>
      <c r="L1903" s="3"/>
      <c r="N1903" s="10"/>
      <c r="O1903" s="3"/>
      <c r="P1903" s="3"/>
      <c r="Q1903" s="3"/>
    </row>
    <row r="1904" spans="5:17" x14ac:dyDescent="0.25">
      <c r="E1904" s="2"/>
      <c r="G1904" s="3"/>
      <c r="H1904" s="3"/>
      <c r="I1904" s="3"/>
      <c r="J1904" s="3"/>
      <c r="K1904" s="3"/>
      <c r="L1904" s="3"/>
      <c r="N1904" s="10"/>
      <c r="O1904" s="3"/>
      <c r="P1904" s="3"/>
      <c r="Q1904" s="3"/>
    </row>
    <row r="1905" spans="5:17" x14ac:dyDescent="0.25">
      <c r="E1905" s="2"/>
      <c r="G1905" s="3"/>
      <c r="H1905" s="3"/>
      <c r="I1905" s="3"/>
      <c r="J1905" s="3"/>
      <c r="K1905" s="3"/>
      <c r="L1905" s="3"/>
      <c r="N1905" s="10"/>
      <c r="O1905" s="3"/>
      <c r="P1905" s="3"/>
      <c r="Q1905" s="3"/>
    </row>
    <row r="1906" spans="5:17" x14ac:dyDescent="0.25">
      <c r="E1906" s="2"/>
      <c r="G1906" s="3"/>
      <c r="H1906" s="3"/>
      <c r="I1906" s="3"/>
      <c r="J1906" s="3"/>
      <c r="K1906" s="3"/>
      <c r="L1906" s="3"/>
      <c r="N1906" s="10"/>
      <c r="O1906" s="3"/>
      <c r="P1906" s="3"/>
      <c r="Q1906" s="3"/>
    </row>
    <row r="1907" spans="5:17" x14ac:dyDescent="0.25">
      <c r="E1907" s="2"/>
      <c r="G1907" s="3"/>
      <c r="H1907" s="3"/>
      <c r="I1907" s="3"/>
      <c r="J1907" s="3"/>
      <c r="K1907" s="3"/>
      <c r="L1907" s="3"/>
      <c r="N1907" s="10"/>
      <c r="O1907" s="3"/>
      <c r="P1907" s="3"/>
      <c r="Q1907" s="3"/>
    </row>
    <row r="1908" spans="5:17" x14ac:dyDescent="0.25">
      <c r="E1908" s="2"/>
      <c r="G1908" s="3"/>
      <c r="H1908" s="3"/>
      <c r="I1908" s="3"/>
      <c r="J1908" s="3"/>
      <c r="K1908" s="3"/>
      <c r="L1908" s="3"/>
      <c r="N1908" s="10"/>
      <c r="O1908" s="3"/>
      <c r="P1908" s="3"/>
      <c r="Q1908" s="3"/>
    </row>
    <row r="1909" spans="5:17" x14ac:dyDescent="0.25">
      <c r="E1909" s="2"/>
      <c r="G1909" s="3"/>
      <c r="H1909" s="3"/>
      <c r="I1909" s="3"/>
      <c r="J1909" s="3"/>
      <c r="K1909" s="3"/>
      <c r="L1909" s="3"/>
      <c r="N1909" s="10"/>
      <c r="O1909" s="3"/>
      <c r="P1909" s="3"/>
      <c r="Q1909" s="3"/>
    </row>
    <row r="1910" spans="5:17" x14ac:dyDescent="0.25">
      <c r="E1910" s="2"/>
      <c r="G1910" s="3"/>
      <c r="H1910" s="3"/>
      <c r="I1910" s="3"/>
      <c r="J1910" s="3"/>
      <c r="K1910" s="3"/>
      <c r="L1910" s="3"/>
      <c r="N1910" s="10"/>
      <c r="O1910" s="3"/>
      <c r="P1910" s="3"/>
      <c r="Q1910" s="3"/>
    </row>
    <row r="1911" spans="5:17" x14ac:dyDescent="0.25">
      <c r="E1911" s="2"/>
      <c r="G1911" s="3"/>
      <c r="H1911" s="3"/>
      <c r="I1911" s="3"/>
      <c r="J1911" s="3"/>
      <c r="K1911" s="3"/>
      <c r="L1911" s="3"/>
      <c r="N1911" s="10"/>
      <c r="O1911" s="3"/>
      <c r="P1911" s="3"/>
      <c r="Q1911" s="3"/>
    </row>
    <row r="1912" spans="5:17" x14ac:dyDescent="0.25">
      <c r="E1912" s="2"/>
      <c r="G1912" s="3"/>
      <c r="H1912" s="3"/>
      <c r="I1912" s="3"/>
      <c r="J1912" s="3"/>
      <c r="K1912" s="3"/>
      <c r="L1912" s="3"/>
      <c r="N1912" s="10"/>
      <c r="O1912" s="3"/>
      <c r="P1912" s="3"/>
      <c r="Q1912" s="3"/>
    </row>
    <row r="1913" spans="5:17" x14ac:dyDescent="0.25">
      <c r="E1913" s="2"/>
      <c r="G1913" s="3"/>
      <c r="H1913" s="3"/>
      <c r="I1913" s="3"/>
      <c r="J1913" s="3"/>
      <c r="K1913" s="3"/>
      <c r="L1913" s="3"/>
      <c r="N1913" s="10"/>
      <c r="O1913" s="3"/>
      <c r="P1913" s="3"/>
      <c r="Q1913" s="3"/>
    </row>
    <row r="1914" spans="5:17" x14ac:dyDescent="0.25">
      <c r="E1914" s="2"/>
      <c r="G1914" s="3"/>
      <c r="H1914" s="3"/>
      <c r="I1914" s="3"/>
      <c r="J1914" s="3"/>
      <c r="K1914" s="3"/>
      <c r="L1914" s="3"/>
      <c r="N1914" s="10"/>
      <c r="O1914" s="3"/>
      <c r="P1914" s="3"/>
      <c r="Q1914" s="3"/>
    </row>
    <row r="1915" spans="5:17" x14ac:dyDescent="0.25">
      <c r="E1915" s="2"/>
      <c r="G1915" s="3"/>
      <c r="H1915" s="3"/>
      <c r="I1915" s="3"/>
      <c r="J1915" s="3"/>
      <c r="K1915" s="3"/>
      <c r="L1915" s="3"/>
      <c r="N1915" s="10"/>
      <c r="O1915" s="3"/>
      <c r="P1915" s="3"/>
      <c r="Q1915" s="3"/>
    </row>
    <row r="1916" spans="5:17" x14ac:dyDescent="0.25">
      <c r="E1916" s="2"/>
      <c r="G1916" s="3"/>
      <c r="H1916" s="3"/>
      <c r="I1916" s="3"/>
      <c r="J1916" s="3"/>
      <c r="K1916" s="3"/>
      <c r="L1916" s="3"/>
      <c r="N1916" s="10"/>
      <c r="O1916" s="3"/>
      <c r="P1916" s="3"/>
      <c r="Q1916" s="3"/>
    </row>
    <row r="1917" spans="5:17" x14ac:dyDescent="0.25">
      <c r="E1917" s="2"/>
      <c r="G1917" s="3"/>
      <c r="H1917" s="3"/>
      <c r="I1917" s="3"/>
      <c r="J1917" s="3"/>
      <c r="K1917" s="3"/>
      <c r="L1917" s="3"/>
      <c r="N1917" s="10"/>
      <c r="O1917" s="3"/>
      <c r="P1917" s="3"/>
      <c r="Q1917" s="3"/>
    </row>
    <row r="1918" spans="5:17" x14ac:dyDescent="0.25">
      <c r="E1918" s="2"/>
      <c r="G1918" s="3"/>
      <c r="H1918" s="3"/>
      <c r="I1918" s="3"/>
      <c r="J1918" s="3"/>
      <c r="K1918" s="3"/>
      <c r="L1918" s="3"/>
      <c r="N1918" s="10"/>
      <c r="O1918" s="3"/>
      <c r="P1918" s="3"/>
      <c r="Q1918" s="3"/>
    </row>
    <row r="1919" spans="5:17" x14ac:dyDescent="0.25">
      <c r="E1919" s="2"/>
      <c r="G1919" s="3"/>
      <c r="H1919" s="3"/>
      <c r="I1919" s="3"/>
      <c r="J1919" s="3"/>
      <c r="K1919" s="3"/>
      <c r="L1919" s="3"/>
      <c r="N1919" s="10"/>
      <c r="O1919" s="3"/>
      <c r="P1919" s="3"/>
      <c r="Q1919" s="3"/>
    </row>
    <row r="1920" spans="5:17" x14ac:dyDescent="0.25">
      <c r="E1920" s="2"/>
      <c r="G1920" s="3"/>
      <c r="H1920" s="3"/>
      <c r="I1920" s="3"/>
      <c r="J1920" s="3"/>
      <c r="K1920" s="3"/>
      <c r="L1920" s="3"/>
      <c r="N1920" s="10"/>
      <c r="O1920" s="3"/>
      <c r="P1920" s="3"/>
      <c r="Q1920" s="3"/>
    </row>
    <row r="1921" spans="5:17" x14ac:dyDescent="0.25">
      <c r="E1921" s="2"/>
      <c r="G1921" s="3"/>
      <c r="H1921" s="3"/>
      <c r="I1921" s="3"/>
      <c r="J1921" s="3"/>
      <c r="K1921" s="3"/>
      <c r="L1921" s="3"/>
      <c r="N1921" s="10"/>
      <c r="O1921" s="3"/>
      <c r="P1921" s="3"/>
      <c r="Q1921" s="3"/>
    </row>
    <row r="1922" spans="5:17" x14ac:dyDescent="0.25">
      <c r="E1922" s="2"/>
      <c r="G1922" s="3"/>
      <c r="H1922" s="3"/>
      <c r="I1922" s="3"/>
      <c r="J1922" s="3"/>
      <c r="K1922" s="3"/>
      <c r="L1922" s="3"/>
      <c r="N1922" s="10"/>
      <c r="O1922" s="3"/>
      <c r="P1922" s="3"/>
      <c r="Q1922" s="3"/>
    </row>
    <row r="1923" spans="5:17" x14ac:dyDescent="0.25">
      <c r="E1923" s="2"/>
      <c r="G1923" s="3"/>
      <c r="H1923" s="3"/>
      <c r="I1923" s="3"/>
      <c r="J1923" s="3"/>
      <c r="K1923" s="3"/>
      <c r="L1923" s="3"/>
      <c r="N1923" s="10"/>
      <c r="O1923" s="3"/>
      <c r="P1923" s="3"/>
      <c r="Q1923" s="3"/>
    </row>
    <row r="1924" spans="5:17" x14ac:dyDescent="0.25">
      <c r="E1924" s="2"/>
      <c r="G1924" s="3"/>
      <c r="H1924" s="3"/>
      <c r="I1924" s="3"/>
      <c r="J1924" s="3"/>
      <c r="K1924" s="3"/>
      <c r="L1924" s="3"/>
      <c r="N1924" s="10"/>
      <c r="O1924" s="3"/>
      <c r="P1924" s="3"/>
      <c r="Q1924" s="3"/>
    </row>
    <row r="1925" spans="5:17" x14ac:dyDescent="0.25">
      <c r="E1925" s="2"/>
      <c r="G1925" s="3"/>
      <c r="H1925" s="3"/>
      <c r="I1925" s="3"/>
      <c r="J1925" s="3"/>
      <c r="K1925" s="3"/>
      <c r="L1925" s="3"/>
      <c r="N1925" s="10"/>
      <c r="O1925" s="3"/>
      <c r="P1925" s="3"/>
      <c r="Q1925" s="3"/>
    </row>
    <row r="1926" spans="5:17" x14ac:dyDescent="0.25">
      <c r="E1926" s="2"/>
      <c r="G1926" s="3"/>
      <c r="H1926" s="3"/>
      <c r="I1926" s="3"/>
      <c r="J1926" s="3"/>
      <c r="K1926" s="3"/>
      <c r="L1926" s="3"/>
      <c r="N1926" s="10"/>
      <c r="O1926" s="3"/>
      <c r="P1926" s="3"/>
      <c r="Q1926" s="3"/>
    </row>
    <row r="1927" spans="5:17" x14ac:dyDescent="0.25">
      <c r="E1927" s="2"/>
      <c r="G1927" s="3"/>
      <c r="H1927" s="3"/>
      <c r="I1927" s="3"/>
      <c r="J1927" s="3"/>
      <c r="K1927" s="3"/>
      <c r="L1927" s="3"/>
      <c r="N1927" s="10"/>
      <c r="O1927" s="3"/>
      <c r="P1927" s="3"/>
      <c r="Q1927" s="3"/>
    </row>
    <row r="1928" spans="5:17" x14ac:dyDescent="0.25">
      <c r="E1928" s="2"/>
      <c r="G1928" s="3"/>
      <c r="H1928" s="3"/>
      <c r="I1928" s="3"/>
      <c r="J1928" s="3"/>
      <c r="K1928" s="3"/>
      <c r="L1928" s="3"/>
      <c r="N1928" s="10"/>
      <c r="O1928" s="3"/>
      <c r="P1928" s="3"/>
      <c r="Q1928" s="3"/>
    </row>
    <row r="1929" spans="5:17" x14ac:dyDescent="0.25">
      <c r="E1929" s="2"/>
      <c r="G1929" s="3"/>
      <c r="H1929" s="3"/>
      <c r="I1929" s="3"/>
      <c r="J1929" s="3"/>
      <c r="K1929" s="3"/>
      <c r="L1929" s="3"/>
      <c r="N1929" s="10"/>
      <c r="O1929" s="3"/>
      <c r="P1929" s="3"/>
      <c r="Q1929" s="3"/>
    </row>
    <row r="1930" spans="5:17" x14ac:dyDescent="0.25">
      <c r="E1930" s="2"/>
      <c r="G1930" s="3"/>
      <c r="H1930" s="3"/>
      <c r="I1930" s="3"/>
      <c r="J1930" s="3"/>
      <c r="K1930" s="3"/>
      <c r="L1930" s="3"/>
      <c r="N1930" s="10"/>
      <c r="O1930" s="3"/>
      <c r="P1930" s="3"/>
      <c r="Q1930" s="3"/>
    </row>
    <row r="1931" spans="5:17" x14ac:dyDescent="0.25">
      <c r="E1931" s="2"/>
      <c r="G1931" s="3"/>
      <c r="H1931" s="3"/>
      <c r="I1931" s="3"/>
      <c r="J1931" s="3"/>
      <c r="K1931" s="3"/>
      <c r="L1931" s="3"/>
      <c r="N1931" s="10"/>
      <c r="O1931" s="3"/>
      <c r="P1931" s="3"/>
      <c r="Q1931" s="3"/>
    </row>
    <row r="1932" spans="5:17" x14ac:dyDescent="0.25">
      <c r="E1932" s="2"/>
      <c r="G1932" s="3"/>
      <c r="H1932" s="3"/>
      <c r="I1932" s="3"/>
      <c r="J1932" s="3"/>
      <c r="K1932" s="3"/>
      <c r="L1932" s="3"/>
      <c r="N1932" s="10"/>
      <c r="O1932" s="3"/>
      <c r="P1932" s="3"/>
      <c r="Q1932" s="3"/>
    </row>
    <row r="1933" spans="5:17" x14ac:dyDescent="0.25">
      <c r="E1933" s="2"/>
      <c r="G1933" s="3"/>
      <c r="H1933" s="3"/>
      <c r="I1933" s="3"/>
      <c r="J1933" s="3"/>
      <c r="K1933" s="3"/>
      <c r="L1933" s="3"/>
      <c r="N1933" s="10"/>
      <c r="O1933" s="3"/>
      <c r="P1933" s="3"/>
      <c r="Q1933" s="3"/>
    </row>
    <row r="1934" spans="5:17" x14ac:dyDescent="0.25">
      <c r="E1934" s="2"/>
      <c r="G1934" s="3"/>
      <c r="H1934" s="3"/>
      <c r="I1934" s="3"/>
      <c r="J1934" s="3"/>
      <c r="K1934" s="3"/>
      <c r="L1934" s="3"/>
      <c r="N1934" s="10"/>
      <c r="O1934" s="3"/>
      <c r="P1934" s="3"/>
      <c r="Q1934" s="3"/>
    </row>
    <row r="1935" spans="5:17" x14ac:dyDescent="0.25">
      <c r="E1935" s="2"/>
      <c r="G1935" s="3"/>
      <c r="H1935" s="3"/>
      <c r="I1935" s="3"/>
      <c r="J1935" s="3"/>
      <c r="K1935" s="3"/>
      <c r="L1935" s="3"/>
      <c r="N1935" s="10"/>
      <c r="O1935" s="3"/>
      <c r="P1935" s="3"/>
      <c r="Q1935" s="3"/>
    </row>
    <row r="1936" spans="5:17" x14ac:dyDescent="0.25">
      <c r="E1936" s="2"/>
      <c r="G1936" s="3"/>
      <c r="H1936" s="3"/>
      <c r="I1936" s="3"/>
      <c r="J1936" s="3"/>
      <c r="K1936" s="3"/>
      <c r="L1936" s="3"/>
      <c r="N1936" s="10"/>
      <c r="O1936" s="3"/>
      <c r="P1936" s="3"/>
      <c r="Q1936" s="3"/>
    </row>
    <row r="1937" spans="5:17" x14ac:dyDescent="0.25">
      <c r="E1937" s="2"/>
      <c r="G1937" s="3"/>
      <c r="H1937" s="3"/>
      <c r="I1937" s="3"/>
      <c r="J1937" s="3"/>
      <c r="K1937" s="3"/>
      <c r="L1937" s="3"/>
      <c r="N1937" s="10"/>
      <c r="O1937" s="3"/>
      <c r="P1937" s="3"/>
      <c r="Q1937" s="3"/>
    </row>
    <row r="1938" spans="5:17" x14ac:dyDescent="0.25">
      <c r="E1938" s="2"/>
      <c r="G1938" s="3"/>
      <c r="H1938" s="3"/>
      <c r="I1938" s="3"/>
      <c r="J1938" s="3"/>
      <c r="K1938" s="3"/>
      <c r="L1938" s="3"/>
      <c r="N1938" s="10"/>
      <c r="O1938" s="3"/>
      <c r="P1938" s="3"/>
      <c r="Q1938" s="3"/>
    </row>
    <row r="1939" spans="5:17" x14ac:dyDescent="0.25">
      <c r="E1939" s="2"/>
      <c r="G1939" s="3"/>
      <c r="H1939" s="3"/>
      <c r="I1939" s="3"/>
      <c r="J1939" s="3"/>
      <c r="K1939" s="3"/>
      <c r="L1939" s="3"/>
      <c r="N1939" s="10"/>
      <c r="O1939" s="3"/>
      <c r="P1939" s="3"/>
      <c r="Q1939" s="3"/>
    </row>
    <row r="1940" spans="5:17" x14ac:dyDescent="0.25">
      <c r="E1940" s="2"/>
      <c r="G1940" s="3"/>
      <c r="H1940" s="3"/>
      <c r="I1940" s="3"/>
      <c r="J1940" s="3"/>
      <c r="K1940" s="3"/>
      <c r="L1940" s="3"/>
      <c r="N1940" s="10"/>
      <c r="O1940" s="3"/>
      <c r="P1940" s="3"/>
      <c r="Q1940" s="3"/>
    </row>
    <row r="1941" spans="5:17" x14ac:dyDescent="0.25">
      <c r="E1941" s="2"/>
      <c r="G1941" s="3"/>
      <c r="H1941" s="3"/>
      <c r="I1941" s="3"/>
      <c r="J1941" s="3"/>
      <c r="K1941" s="3"/>
      <c r="L1941" s="3"/>
      <c r="N1941" s="10"/>
      <c r="O1941" s="3"/>
      <c r="P1941" s="3"/>
      <c r="Q1941" s="3"/>
    </row>
    <row r="1942" spans="5:17" x14ac:dyDescent="0.25">
      <c r="E1942" s="2"/>
      <c r="G1942" s="3"/>
      <c r="H1942" s="3"/>
      <c r="I1942" s="3"/>
      <c r="J1942" s="3"/>
      <c r="K1942" s="3"/>
      <c r="L1942" s="3"/>
      <c r="N1942" s="10"/>
      <c r="O1942" s="3"/>
      <c r="P1942" s="3"/>
      <c r="Q1942" s="3"/>
    </row>
    <row r="1943" spans="5:17" x14ac:dyDescent="0.25">
      <c r="E1943" s="2"/>
      <c r="G1943" s="3"/>
      <c r="H1943" s="3"/>
      <c r="I1943" s="3"/>
      <c r="J1943" s="3"/>
      <c r="K1943" s="3"/>
      <c r="L1943" s="3"/>
      <c r="N1943" s="10"/>
      <c r="O1943" s="3"/>
      <c r="P1943" s="3"/>
      <c r="Q1943" s="3"/>
    </row>
    <row r="1944" spans="5:17" x14ac:dyDescent="0.25">
      <c r="E1944" s="2"/>
      <c r="G1944" s="3"/>
      <c r="H1944" s="3"/>
      <c r="I1944" s="3"/>
      <c r="J1944" s="3"/>
      <c r="K1944" s="3"/>
      <c r="L1944" s="3"/>
      <c r="N1944" s="10"/>
      <c r="O1944" s="3"/>
      <c r="P1944" s="3"/>
      <c r="Q1944" s="3"/>
    </row>
    <row r="1945" spans="5:17" x14ac:dyDescent="0.25">
      <c r="E1945" s="2"/>
      <c r="G1945" s="3"/>
      <c r="H1945" s="3"/>
      <c r="I1945" s="3"/>
      <c r="J1945" s="3"/>
      <c r="K1945" s="3"/>
      <c r="L1945" s="3"/>
      <c r="N1945" s="10"/>
      <c r="O1945" s="3"/>
      <c r="P1945" s="3"/>
      <c r="Q1945" s="3"/>
    </row>
    <row r="1946" spans="5:17" x14ac:dyDescent="0.25">
      <c r="E1946" s="2"/>
      <c r="G1946" s="3"/>
      <c r="H1946" s="3"/>
      <c r="I1946" s="3"/>
      <c r="J1946" s="3"/>
      <c r="K1946" s="3"/>
      <c r="L1946" s="3"/>
      <c r="N1946" s="10"/>
      <c r="O1946" s="3"/>
      <c r="P1946" s="3"/>
      <c r="Q1946" s="3"/>
    </row>
    <row r="1947" spans="5:17" x14ac:dyDescent="0.25">
      <c r="E1947" s="2"/>
      <c r="G1947" s="3"/>
      <c r="H1947" s="3"/>
      <c r="I1947" s="3"/>
      <c r="J1947" s="3"/>
      <c r="K1947" s="3"/>
      <c r="L1947" s="3"/>
      <c r="N1947" s="10"/>
      <c r="O1947" s="3"/>
      <c r="P1947" s="3"/>
      <c r="Q1947" s="3"/>
    </row>
    <row r="1948" spans="5:17" x14ac:dyDescent="0.25">
      <c r="E1948" s="2"/>
      <c r="G1948" s="3"/>
      <c r="H1948" s="3"/>
      <c r="I1948" s="3"/>
      <c r="J1948" s="3"/>
      <c r="K1948" s="3"/>
      <c r="L1948" s="3"/>
      <c r="N1948" s="10"/>
      <c r="O1948" s="3"/>
      <c r="P1948" s="3"/>
      <c r="Q1948" s="3"/>
    </row>
    <row r="1949" spans="5:17" x14ac:dyDescent="0.25">
      <c r="E1949" s="2"/>
      <c r="G1949" s="3"/>
      <c r="H1949" s="3"/>
      <c r="I1949" s="3"/>
      <c r="J1949" s="3"/>
      <c r="K1949" s="3"/>
      <c r="L1949" s="3"/>
      <c r="N1949" s="10"/>
      <c r="O1949" s="3"/>
      <c r="P1949" s="3"/>
      <c r="Q1949" s="3"/>
    </row>
    <row r="1950" spans="5:17" x14ac:dyDescent="0.25">
      <c r="E1950" s="2"/>
      <c r="G1950" s="3"/>
      <c r="H1950" s="3"/>
      <c r="I1950" s="3"/>
      <c r="J1950" s="3"/>
      <c r="K1950" s="3"/>
      <c r="L1950" s="3"/>
      <c r="N1950" s="10"/>
      <c r="O1950" s="3"/>
      <c r="P1950" s="3"/>
      <c r="Q1950" s="3"/>
    </row>
    <row r="1951" spans="5:17" x14ac:dyDescent="0.25">
      <c r="E1951" s="2"/>
      <c r="G1951" s="3"/>
      <c r="H1951" s="3"/>
      <c r="I1951" s="3"/>
      <c r="J1951" s="3"/>
      <c r="K1951" s="3"/>
      <c r="L1951" s="3"/>
      <c r="N1951" s="10"/>
      <c r="O1951" s="3"/>
      <c r="P1951" s="3"/>
      <c r="Q1951" s="3"/>
    </row>
    <row r="1952" spans="5:17" x14ac:dyDescent="0.25">
      <c r="E1952" s="2"/>
      <c r="G1952" s="3"/>
      <c r="H1952" s="3"/>
      <c r="I1952" s="3"/>
      <c r="J1952" s="3"/>
      <c r="K1952" s="3"/>
      <c r="L1952" s="3"/>
      <c r="N1952" s="10"/>
      <c r="O1952" s="3"/>
      <c r="P1952" s="3"/>
      <c r="Q1952" s="3"/>
    </row>
    <row r="1953" spans="5:17" x14ac:dyDescent="0.25">
      <c r="E1953" s="2"/>
      <c r="G1953" s="3"/>
      <c r="H1953" s="3"/>
      <c r="I1953" s="3"/>
      <c r="J1953" s="3"/>
      <c r="K1953" s="3"/>
      <c r="L1953" s="3"/>
      <c r="N1953" s="10"/>
      <c r="O1953" s="3"/>
      <c r="P1953" s="3"/>
      <c r="Q1953" s="3"/>
    </row>
    <row r="1954" spans="5:17" x14ac:dyDescent="0.25">
      <c r="E1954" s="2"/>
      <c r="G1954" s="3"/>
      <c r="H1954" s="3"/>
      <c r="I1954" s="3"/>
      <c r="J1954" s="3"/>
      <c r="K1954" s="3"/>
      <c r="L1954" s="3"/>
      <c r="N1954" s="10"/>
      <c r="O1954" s="3"/>
      <c r="P1954" s="3"/>
      <c r="Q1954" s="3"/>
    </row>
    <row r="1955" spans="5:17" x14ac:dyDescent="0.25">
      <c r="E1955" s="2"/>
      <c r="G1955" s="3"/>
      <c r="H1955" s="3"/>
      <c r="I1955" s="3"/>
      <c r="J1955" s="3"/>
      <c r="K1955" s="3"/>
      <c r="L1955" s="3"/>
      <c r="N1955" s="10"/>
      <c r="O1955" s="3"/>
      <c r="P1955" s="3"/>
      <c r="Q1955" s="3"/>
    </row>
    <row r="1956" spans="5:17" x14ac:dyDescent="0.25">
      <c r="E1956" s="2"/>
      <c r="G1956" s="3"/>
      <c r="H1956" s="3"/>
      <c r="I1956" s="3"/>
      <c r="J1956" s="3"/>
      <c r="K1956" s="3"/>
      <c r="L1956" s="3"/>
      <c r="N1956" s="10"/>
      <c r="O1956" s="3"/>
      <c r="P1956" s="3"/>
      <c r="Q1956" s="3"/>
    </row>
    <row r="1957" spans="5:17" x14ac:dyDescent="0.25">
      <c r="E1957" s="2"/>
      <c r="G1957" s="3"/>
      <c r="H1957" s="3"/>
      <c r="I1957" s="3"/>
      <c r="J1957" s="3"/>
      <c r="K1957" s="3"/>
      <c r="L1957" s="3"/>
      <c r="N1957" s="10"/>
      <c r="O1957" s="3"/>
      <c r="P1957" s="3"/>
      <c r="Q1957" s="3"/>
    </row>
    <row r="1958" spans="5:17" x14ac:dyDescent="0.25">
      <c r="E1958" s="2"/>
      <c r="G1958" s="3"/>
      <c r="H1958" s="3"/>
      <c r="I1958" s="3"/>
      <c r="J1958" s="3"/>
      <c r="K1958" s="3"/>
      <c r="L1958" s="3"/>
      <c r="N1958" s="10"/>
      <c r="O1958" s="3"/>
      <c r="P1958" s="3"/>
      <c r="Q1958" s="3"/>
    </row>
    <row r="1959" spans="5:17" x14ac:dyDescent="0.25">
      <c r="E1959" s="2"/>
      <c r="G1959" s="3"/>
      <c r="H1959" s="3"/>
      <c r="I1959" s="3"/>
      <c r="J1959" s="3"/>
      <c r="K1959" s="3"/>
      <c r="L1959" s="3"/>
      <c r="N1959" s="10"/>
      <c r="O1959" s="3"/>
      <c r="P1959" s="3"/>
      <c r="Q1959" s="3"/>
    </row>
    <row r="1960" spans="5:17" x14ac:dyDescent="0.25">
      <c r="E1960" s="2"/>
      <c r="G1960" s="3"/>
      <c r="H1960" s="3"/>
      <c r="I1960" s="3"/>
      <c r="J1960" s="3"/>
      <c r="K1960" s="3"/>
      <c r="L1960" s="3"/>
      <c r="N1960" s="10"/>
      <c r="O1960" s="3"/>
      <c r="P1960" s="3"/>
      <c r="Q1960" s="3"/>
    </row>
    <row r="1961" spans="5:17" x14ac:dyDescent="0.25">
      <c r="E1961" s="2"/>
      <c r="G1961" s="3"/>
      <c r="H1961" s="3"/>
      <c r="I1961" s="3"/>
      <c r="J1961" s="3"/>
      <c r="K1961" s="3"/>
      <c r="L1961" s="3"/>
      <c r="N1961" s="10"/>
      <c r="O1961" s="3"/>
      <c r="P1961" s="3"/>
      <c r="Q1961" s="3"/>
    </row>
    <row r="1962" spans="5:17" x14ac:dyDescent="0.25">
      <c r="E1962" s="2"/>
      <c r="G1962" s="3"/>
      <c r="H1962" s="3"/>
      <c r="I1962" s="3"/>
      <c r="J1962" s="3"/>
      <c r="K1962" s="3"/>
      <c r="L1962" s="3"/>
      <c r="N1962" s="10"/>
      <c r="O1962" s="3"/>
      <c r="P1962" s="3"/>
      <c r="Q1962" s="3"/>
    </row>
    <row r="1963" spans="5:17" x14ac:dyDescent="0.25">
      <c r="E1963" s="2"/>
      <c r="G1963" s="3"/>
      <c r="H1963" s="3"/>
      <c r="I1963" s="3"/>
      <c r="J1963" s="3"/>
      <c r="K1963" s="3"/>
      <c r="L1963" s="3"/>
      <c r="N1963" s="10"/>
      <c r="O1963" s="3"/>
      <c r="P1963" s="3"/>
      <c r="Q1963" s="3"/>
    </row>
    <row r="1964" spans="5:17" x14ac:dyDescent="0.25">
      <c r="E1964" s="2"/>
      <c r="G1964" s="3"/>
      <c r="H1964" s="3"/>
      <c r="I1964" s="3"/>
      <c r="J1964" s="3"/>
      <c r="K1964" s="3"/>
      <c r="L1964" s="3"/>
      <c r="N1964" s="10"/>
      <c r="O1964" s="3"/>
      <c r="P1964" s="3"/>
      <c r="Q1964" s="3"/>
    </row>
    <row r="1965" spans="5:17" x14ac:dyDescent="0.25">
      <c r="E1965" s="2"/>
      <c r="G1965" s="3"/>
      <c r="H1965" s="3"/>
      <c r="I1965" s="3"/>
      <c r="J1965" s="3"/>
      <c r="K1965" s="3"/>
      <c r="L1965" s="3"/>
      <c r="N1965" s="10"/>
      <c r="O1965" s="3"/>
      <c r="P1965" s="3"/>
      <c r="Q1965" s="3"/>
    </row>
    <row r="1966" spans="5:17" x14ac:dyDescent="0.25">
      <c r="E1966" s="2"/>
      <c r="G1966" s="3"/>
      <c r="H1966" s="3"/>
      <c r="I1966" s="3"/>
      <c r="J1966" s="3"/>
      <c r="K1966" s="3"/>
      <c r="L1966" s="3"/>
      <c r="N1966" s="10"/>
      <c r="O1966" s="3"/>
      <c r="P1966" s="3"/>
      <c r="Q1966" s="3"/>
    </row>
    <row r="1967" spans="5:17" x14ac:dyDescent="0.25">
      <c r="E1967" s="2"/>
      <c r="G1967" s="3"/>
      <c r="H1967" s="3"/>
      <c r="I1967" s="3"/>
      <c r="J1967" s="3"/>
      <c r="K1967" s="3"/>
      <c r="L1967" s="3"/>
      <c r="N1967" s="10"/>
      <c r="O1967" s="3"/>
      <c r="P1967" s="3"/>
      <c r="Q1967" s="3"/>
    </row>
    <row r="1968" spans="5:17" x14ac:dyDescent="0.25">
      <c r="E1968" s="2"/>
      <c r="G1968" s="3"/>
      <c r="H1968" s="3"/>
      <c r="I1968" s="3"/>
      <c r="J1968" s="3"/>
      <c r="K1968" s="3"/>
      <c r="L1968" s="3"/>
      <c r="N1968" s="10"/>
      <c r="O1968" s="3"/>
      <c r="P1968" s="3"/>
      <c r="Q1968" s="3"/>
    </row>
    <row r="1969" spans="5:17" x14ac:dyDescent="0.25">
      <c r="E1969" s="2"/>
      <c r="G1969" s="3"/>
      <c r="H1969" s="3"/>
      <c r="I1969" s="3"/>
      <c r="J1969" s="3"/>
      <c r="K1969" s="3"/>
      <c r="L1969" s="3"/>
      <c r="N1969" s="10"/>
      <c r="O1969" s="3"/>
      <c r="P1969" s="3"/>
      <c r="Q1969" s="3"/>
    </row>
    <row r="1970" spans="5:17" x14ac:dyDescent="0.25">
      <c r="E1970" s="2"/>
      <c r="G1970" s="3"/>
      <c r="H1970" s="3"/>
      <c r="I1970" s="3"/>
      <c r="J1970" s="3"/>
      <c r="K1970" s="3"/>
      <c r="L1970" s="3"/>
      <c r="N1970" s="10"/>
      <c r="O1970" s="3"/>
      <c r="P1970" s="3"/>
      <c r="Q1970" s="3"/>
    </row>
    <row r="1971" spans="5:17" x14ac:dyDescent="0.25">
      <c r="E1971" s="2"/>
      <c r="G1971" s="3"/>
      <c r="H1971" s="3"/>
      <c r="I1971" s="3"/>
      <c r="J1971" s="3"/>
      <c r="K1971" s="3"/>
      <c r="L1971" s="3"/>
      <c r="N1971" s="10"/>
      <c r="O1971" s="3"/>
      <c r="P1971" s="3"/>
      <c r="Q1971" s="3"/>
    </row>
    <row r="1972" spans="5:17" x14ac:dyDescent="0.25">
      <c r="E1972" s="2"/>
      <c r="G1972" s="3"/>
      <c r="H1972" s="3"/>
      <c r="I1972" s="3"/>
      <c r="J1972" s="3"/>
      <c r="K1972" s="3"/>
      <c r="L1972" s="3"/>
      <c r="N1972" s="10"/>
      <c r="O1972" s="3"/>
      <c r="P1972" s="3"/>
      <c r="Q1972" s="3"/>
    </row>
    <row r="1973" spans="5:17" x14ac:dyDescent="0.25">
      <c r="E1973" s="2"/>
      <c r="G1973" s="3"/>
      <c r="H1973" s="3"/>
      <c r="I1973" s="3"/>
      <c r="J1973" s="3"/>
      <c r="K1973" s="3"/>
      <c r="L1973" s="3"/>
      <c r="N1973" s="10"/>
      <c r="O1973" s="3"/>
      <c r="P1973" s="3"/>
      <c r="Q1973" s="3"/>
    </row>
    <row r="1974" spans="5:17" x14ac:dyDescent="0.25">
      <c r="E1974" s="2"/>
      <c r="G1974" s="3"/>
      <c r="H1974" s="3"/>
      <c r="I1974" s="3"/>
      <c r="J1974" s="3"/>
      <c r="K1974" s="3"/>
      <c r="L1974" s="3"/>
      <c r="N1974" s="10"/>
      <c r="O1974" s="3"/>
      <c r="P1974" s="3"/>
      <c r="Q1974" s="3"/>
    </row>
    <row r="1975" spans="5:17" x14ac:dyDescent="0.25">
      <c r="E1975" s="2"/>
      <c r="G1975" s="3"/>
      <c r="H1975" s="3"/>
      <c r="I1975" s="3"/>
      <c r="J1975" s="3"/>
      <c r="K1975" s="3"/>
      <c r="L1975" s="3"/>
      <c r="N1975" s="10"/>
      <c r="O1975" s="3"/>
      <c r="P1975" s="3"/>
      <c r="Q1975" s="3"/>
    </row>
    <row r="1976" spans="5:17" x14ac:dyDescent="0.25">
      <c r="E1976" s="2"/>
      <c r="G1976" s="3"/>
      <c r="H1976" s="3"/>
      <c r="I1976" s="3"/>
      <c r="J1976" s="3"/>
      <c r="K1976" s="3"/>
      <c r="L1976" s="3"/>
      <c r="N1976" s="10"/>
      <c r="O1976" s="3"/>
      <c r="P1976" s="3"/>
      <c r="Q1976" s="3"/>
    </row>
    <row r="1977" spans="5:17" x14ac:dyDescent="0.25">
      <c r="E1977" s="2"/>
      <c r="G1977" s="3"/>
      <c r="H1977" s="3"/>
      <c r="I1977" s="3"/>
      <c r="J1977" s="3"/>
      <c r="K1977" s="3"/>
      <c r="L1977" s="3"/>
      <c r="N1977" s="10"/>
      <c r="O1977" s="3"/>
      <c r="P1977" s="3"/>
      <c r="Q1977" s="3"/>
    </row>
    <row r="1978" spans="5:17" x14ac:dyDescent="0.25">
      <c r="E1978" s="2"/>
      <c r="G1978" s="3"/>
      <c r="H1978" s="3"/>
      <c r="I1978" s="3"/>
      <c r="J1978" s="3"/>
      <c r="K1978" s="3"/>
      <c r="L1978" s="3"/>
      <c r="N1978" s="10"/>
      <c r="O1978" s="3"/>
      <c r="P1978" s="3"/>
      <c r="Q1978" s="3"/>
    </row>
    <row r="1979" spans="5:17" x14ac:dyDescent="0.25">
      <c r="E1979" s="2"/>
      <c r="G1979" s="3"/>
      <c r="H1979" s="3"/>
      <c r="I1979" s="3"/>
      <c r="J1979" s="3"/>
      <c r="K1979" s="3"/>
      <c r="L1979" s="3"/>
      <c r="N1979" s="10"/>
      <c r="O1979" s="3"/>
      <c r="P1979" s="3"/>
      <c r="Q1979" s="3"/>
    </row>
    <row r="1980" spans="5:17" x14ac:dyDescent="0.25">
      <c r="E1980" s="2"/>
      <c r="G1980" s="3"/>
      <c r="H1980" s="3"/>
      <c r="I1980" s="3"/>
      <c r="J1980" s="3"/>
      <c r="K1980" s="3"/>
      <c r="L1980" s="3"/>
      <c r="N1980" s="10"/>
      <c r="O1980" s="3"/>
      <c r="P1980" s="3"/>
      <c r="Q1980" s="3"/>
    </row>
    <row r="1981" spans="5:17" x14ac:dyDescent="0.25">
      <c r="E1981" s="2"/>
      <c r="G1981" s="3"/>
      <c r="H1981" s="3"/>
      <c r="I1981" s="3"/>
      <c r="J1981" s="3"/>
      <c r="K1981" s="3"/>
      <c r="L1981" s="3"/>
      <c r="N1981" s="10"/>
      <c r="O1981" s="3"/>
      <c r="P1981" s="3"/>
      <c r="Q1981" s="3"/>
    </row>
    <row r="1982" spans="5:17" x14ac:dyDescent="0.25">
      <c r="E1982" s="2"/>
      <c r="G1982" s="3"/>
      <c r="H1982" s="3"/>
      <c r="I1982" s="3"/>
      <c r="J1982" s="3"/>
      <c r="K1982" s="3"/>
      <c r="L1982" s="3"/>
      <c r="N1982" s="10"/>
      <c r="O1982" s="3"/>
      <c r="P1982" s="3"/>
      <c r="Q1982" s="3"/>
    </row>
    <row r="1983" spans="5:17" x14ac:dyDescent="0.25">
      <c r="E1983" s="2"/>
      <c r="G1983" s="3"/>
      <c r="H1983" s="3"/>
      <c r="I1983" s="3"/>
      <c r="J1983" s="3"/>
      <c r="K1983" s="3"/>
      <c r="L1983" s="3"/>
      <c r="N1983" s="10"/>
      <c r="O1983" s="3"/>
      <c r="P1983" s="3"/>
      <c r="Q1983" s="3"/>
    </row>
    <row r="1984" spans="5:17" x14ac:dyDescent="0.25">
      <c r="E1984" s="2"/>
      <c r="G1984" s="3"/>
      <c r="H1984" s="3"/>
      <c r="I1984" s="3"/>
      <c r="J1984" s="3"/>
      <c r="K1984" s="3"/>
      <c r="L1984" s="3"/>
      <c r="N1984" s="10"/>
      <c r="O1984" s="3"/>
      <c r="P1984" s="3"/>
      <c r="Q1984" s="3"/>
    </row>
    <row r="1985" spans="5:17" x14ac:dyDescent="0.25">
      <c r="E1985" s="2"/>
      <c r="G1985" s="3"/>
      <c r="H1985" s="3"/>
      <c r="I1985" s="3"/>
      <c r="J1985" s="3"/>
      <c r="K1985" s="3"/>
      <c r="L1985" s="3"/>
      <c r="N1985" s="10"/>
      <c r="O1985" s="3"/>
      <c r="P1985" s="3"/>
      <c r="Q1985" s="3"/>
    </row>
    <row r="1986" spans="5:17" x14ac:dyDescent="0.25">
      <c r="E1986" s="2"/>
      <c r="G1986" s="3"/>
      <c r="H1986" s="3"/>
      <c r="I1986" s="3"/>
      <c r="J1986" s="3"/>
      <c r="K1986" s="3"/>
      <c r="L1986" s="3"/>
      <c r="N1986" s="10"/>
      <c r="O1986" s="3"/>
      <c r="P1986" s="3"/>
      <c r="Q1986" s="3"/>
    </row>
    <row r="1987" spans="5:17" x14ac:dyDescent="0.25">
      <c r="E1987" s="2"/>
      <c r="G1987" s="3"/>
      <c r="H1987" s="3"/>
      <c r="I1987" s="3"/>
      <c r="J1987" s="3"/>
      <c r="K1987" s="3"/>
      <c r="L1987" s="3"/>
      <c r="N1987" s="10"/>
      <c r="O1987" s="3"/>
      <c r="P1987" s="3"/>
      <c r="Q1987" s="3"/>
    </row>
    <row r="1988" spans="5:17" x14ac:dyDescent="0.25">
      <c r="E1988" s="2"/>
      <c r="G1988" s="3"/>
      <c r="H1988" s="3"/>
      <c r="I1988" s="3"/>
      <c r="J1988" s="3"/>
      <c r="K1988" s="3"/>
      <c r="L1988" s="3"/>
      <c r="N1988" s="10"/>
      <c r="O1988" s="3"/>
      <c r="P1988" s="3"/>
      <c r="Q1988" s="3"/>
    </row>
    <row r="1989" spans="5:17" x14ac:dyDescent="0.25">
      <c r="E1989" s="2"/>
      <c r="G1989" s="3"/>
      <c r="H1989" s="3"/>
      <c r="I1989" s="3"/>
      <c r="J1989" s="3"/>
      <c r="K1989" s="3"/>
      <c r="L1989" s="3"/>
      <c r="N1989" s="10"/>
      <c r="O1989" s="3"/>
      <c r="P1989" s="3"/>
      <c r="Q1989" s="3"/>
    </row>
    <row r="1990" spans="5:17" x14ac:dyDescent="0.25">
      <c r="E1990" s="2"/>
      <c r="G1990" s="3"/>
      <c r="H1990" s="3"/>
      <c r="I1990" s="3"/>
      <c r="J1990" s="3"/>
      <c r="K1990" s="3"/>
      <c r="L1990" s="3"/>
      <c r="N1990" s="10"/>
      <c r="O1990" s="3"/>
      <c r="P1990" s="3"/>
      <c r="Q1990" s="3"/>
    </row>
    <row r="1991" spans="5:17" x14ac:dyDescent="0.25">
      <c r="E1991" s="2"/>
      <c r="G1991" s="3"/>
      <c r="H1991" s="3"/>
      <c r="I1991" s="3"/>
      <c r="J1991" s="3"/>
      <c r="K1991" s="3"/>
      <c r="L1991" s="3"/>
      <c r="N1991" s="10"/>
      <c r="O1991" s="3"/>
      <c r="P1991" s="3"/>
      <c r="Q1991" s="3"/>
    </row>
    <row r="1992" spans="5:17" x14ac:dyDescent="0.25">
      <c r="E1992" s="2"/>
      <c r="G1992" s="3"/>
      <c r="H1992" s="3"/>
      <c r="I1992" s="3"/>
      <c r="J1992" s="3"/>
      <c r="K1992" s="3"/>
      <c r="L1992" s="3"/>
      <c r="N1992" s="10"/>
      <c r="O1992" s="3"/>
      <c r="P1992" s="3"/>
      <c r="Q1992" s="3"/>
    </row>
    <row r="1993" spans="5:17" x14ac:dyDescent="0.25">
      <c r="E1993" s="2"/>
      <c r="G1993" s="3"/>
      <c r="H1993" s="3"/>
      <c r="I1993" s="3"/>
      <c r="J1993" s="3"/>
      <c r="K1993" s="3"/>
      <c r="L1993" s="3"/>
      <c r="N1993" s="10"/>
      <c r="O1993" s="3"/>
      <c r="P1993" s="3"/>
      <c r="Q1993" s="3"/>
    </row>
    <row r="1994" spans="5:17" x14ac:dyDescent="0.25">
      <c r="E1994" s="2"/>
      <c r="G1994" s="3"/>
      <c r="H1994" s="3"/>
      <c r="I1994" s="3"/>
      <c r="J1994" s="3"/>
      <c r="K1994" s="3"/>
      <c r="L1994" s="3"/>
      <c r="N1994" s="10"/>
      <c r="O1994" s="3"/>
      <c r="P1994" s="3"/>
      <c r="Q1994" s="3"/>
    </row>
    <row r="1995" spans="5:17" x14ac:dyDescent="0.25">
      <c r="E1995" s="2"/>
      <c r="G1995" s="3"/>
      <c r="H1995" s="3"/>
      <c r="I1995" s="3"/>
      <c r="J1995" s="3"/>
      <c r="K1995" s="3"/>
      <c r="L1995" s="3"/>
      <c r="N1995" s="10"/>
      <c r="O1995" s="3"/>
      <c r="P1995" s="3"/>
      <c r="Q1995" s="3"/>
    </row>
    <row r="1996" spans="5:17" x14ac:dyDescent="0.25">
      <c r="E1996" s="2"/>
      <c r="G1996" s="3"/>
      <c r="H1996" s="3"/>
      <c r="I1996" s="3"/>
      <c r="J1996" s="3"/>
      <c r="K1996" s="3"/>
      <c r="L1996" s="3"/>
      <c r="N1996" s="10"/>
      <c r="O1996" s="3"/>
      <c r="P1996" s="3"/>
      <c r="Q1996" s="3"/>
    </row>
    <row r="1997" spans="5:17" x14ac:dyDescent="0.25">
      <c r="E1997" s="2"/>
      <c r="G1997" s="3"/>
      <c r="H1997" s="3"/>
      <c r="I1997" s="3"/>
      <c r="J1997" s="3"/>
      <c r="K1997" s="3"/>
      <c r="L1997" s="3"/>
      <c r="N1997" s="10"/>
      <c r="O1997" s="3"/>
      <c r="P1997" s="3"/>
      <c r="Q1997" s="3"/>
    </row>
    <row r="1998" spans="5:17" x14ac:dyDescent="0.25">
      <c r="E1998" s="2"/>
      <c r="G1998" s="3"/>
      <c r="H1998" s="3"/>
      <c r="I1998" s="3"/>
      <c r="J1998" s="3"/>
      <c r="K1998" s="3"/>
      <c r="L1998" s="3"/>
      <c r="N1998" s="10"/>
      <c r="O1998" s="3"/>
      <c r="P1998" s="3"/>
      <c r="Q1998" s="3"/>
    </row>
    <row r="1999" spans="5:17" x14ac:dyDescent="0.25">
      <c r="E1999" s="2"/>
      <c r="G1999" s="3"/>
      <c r="H1999" s="3"/>
      <c r="I1999" s="3"/>
      <c r="J1999" s="3"/>
      <c r="K1999" s="3"/>
      <c r="L1999" s="3"/>
      <c r="N1999" s="10"/>
      <c r="O1999" s="3"/>
      <c r="P1999" s="3"/>
      <c r="Q1999" s="3"/>
    </row>
    <row r="2000" spans="5:17" x14ac:dyDescent="0.25">
      <c r="E2000" s="2"/>
      <c r="G2000" s="3"/>
      <c r="H2000" s="3"/>
      <c r="I2000" s="3"/>
      <c r="J2000" s="3"/>
      <c r="K2000" s="3"/>
      <c r="L2000" s="3"/>
      <c r="N2000" s="10"/>
      <c r="O2000" s="3"/>
      <c r="P2000" s="3"/>
      <c r="Q2000" s="3"/>
    </row>
    <row r="2001" spans="5:17" x14ac:dyDescent="0.25">
      <c r="E2001" s="2"/>
      <c r="G2001" s="3"/>
      <c r="H2001" s="3"/>
      <c r="I2001" s="3"/>
      <c r="J2001" s="3"/>
      <c r="K2001" s="3"/>
      <c r="L2001" s="3"/>
      <c r="N2001" s="10"/>
      <c r="O2001" s="3"/>
      <c r="P2001" s="3"/>
      <c r="Q2001" s="3"/>
    </row>
    <row r="2002" spans="5:17" x14ac:dyDescent="0.25">
      <c r="E2002" s="2"/>
      <c r="G2002" s="3"/>
      <c r="H2002" s="3"/>
      <c r="I2002" s="3"/>
      <c r="J2002" s="3"/>
      <c r="K2002" s="3"/>
      <c r="L2002" s="3"/>
      <c r="N2002" s="10"/>
      <c r="O2002" s="3"/>
      <c r="P2002" s="3"/>
      <c r="Q2002" s="3"/>
    </row>
    <row r="2003" spans="5:17" x14ac:dyDescent="0.25">
      <c r="E2003" s="2"/>
      <c r="G2003" s="3"/>
      <c r="H2003" s="3"/>
      <c r="I2003" s="3"/>
      <c r="J2003" s="3"/>
      <c r="K2003" s="3"/>
      <c r="L2003" s="3"/>
      <c r="N2003" s="10"/>
      <c r="O2003" s="3"/>
      <c r="P2003" s="3"/>
      <c r="Q2003" s="3"/>
    </row>
    <row r="2004" spans="5:17" x14ac:dyDescent="0.25">
      <c r="E2004" s="2"/>
      <c r="G2004" s="3"/>
      <c r="H2004" s="3"/>
      <c r="I2004" s="3"/>
      <c r="J2004" s="3"/>
      <c r="K2004" s="3"/>
      <c r="L2004" s="3"/>
      <c r="N2004" s="10"/>
      <c r="O2004" s="3"/>
      <c r="P2004" s="3"/>
      <c r="Q2004" s="3"/>
    </row>
    <row r="2005" spans="5:17" x14ac:dyDescent="0.25">
      <c r="E2005" s="2"/>
      <c r="G2005" s="3"/>
      <c r="H2005" s="3"/>
      <c r="I2005" s="3"/>
      <c r="J2005" s="3"/>
      <c r="K2005" s="3"/>
      <c r="L2005" s="3"/>
      <c r="N2005" s="10"/>
      <c r="O2005" s="3"/>
      <c r="P2005" s="3"/>
      <c r="Q2005" s="3"/>
    </row>
    <row r="2006" spans="5:17" x14ac:dyDescent="0.25">
      <c r="E2006" s="2"/>
      <c r="G2006" s="3"/>
      <c r="H2006" s="3"/>
      <c r="I2006" s="3"/>
      <c r="J2006" s="3"/>
      <c r="K2006" s="3"/>
      <c r="L2006" s="3"/>
      <c r="N2006" s="10"/>
      <c r="O2006" s="3"/>
      <c r="P2006" s="3"/>
      <c r="Q2006" s="3"/>
    </row>
    <row r="2007" spans="5:17" x14ac:dyDescent="0.25">
      <c r="E2007" s="2"/>
      <c r="G2007" s="3"/>
      <c r="H2007" s="3"/>
      <c r="I2007" s="3"/>
      <c r="J2007" s="3"/>
      <c r="K2007" s="3"/>
      <c r="L2007" s="3"/>
      <c r="N2007" s="10"/>
      <c r="O2007" s="3"/>
      <c r="P2007" s="3"/>
      <c r="Q2007" s="3"/>
    </row>
    <row r="2008" spans="5:17" x14ac:dyDescent="0.25">
      <c r="E2008" s="2"/>
      <c r="G2008" s="3"/>
      <c r="H2008" s="3"/>
      <c r="I2008" s="3"/>
      <c r="J2008" s="3"/>
      <c r="K2008" s="3"/>
      <c r="L2008" s="3"/>
      <c r="N2008" s="10"/>
      <c r="O2008" s="3"/>
      <c r="P2008" s="3"/>
      <c r="Q2008" s="3"/>
    </row>
    <row r="2009" spans="5:17" x14ac:dyDescent="0.25">
      <c r="E2009" s="2"/>
      <c r="G2009" s="3"/>
      <c r="H2009" s="3"/>
      <c r="I2009" s="3"/>
      <c r="J2009" s="3"/>
      <c r="K2009" s="3"/>
      <c r="L2009" s="3"/>
      <c r="N2009" s="10"/>
      <c r="O2009" s="3"/>
      <c r="P2009" s="3"/>
      <c r="Q2009" s="3"/>
    </row>
    <row r="2010" spans="5:17" x14ac:dyDescent="0.25">
      <c r="E2010" s="2"/>
      <c r="G2010" s="3"/>
      <c r="H2010" s="3"/>
      <c r="I2010" s="3"/>
      <c r="J2010" s="3"/>
      <c r="K2010" s="3"/>
      <c r="L2010" s="3"/>
      <c r="N2010" s="10"/>
      <c r="O2010" s="3"/>
      <c r="P2010" s="3"/>
      <c r="Q2010" s="3"/>
    </row>
    <row r="2011" spans="5:17" x14ac:dyDescent="0.25">
      <c r="E2011" s="2"/>
      <c r="G2011" s="3"/>
      <c r="H2011" s="3"/>
      <c r="I2011" s="3"/>
      <c r="J2011" s="3"/>
      <c r="K2011" s="3"/>
      <c r="L2011" s="3"/>
      <c r="N2011" s="10"/>
      <c r="O2011" s="3"/>
      <c r="P2011" s="3"/>
      <c r="Q2011" s="3"/>
    </row>
    <row r="2012" spans="5:17" x14ac:dyDescent="0.25">
      <c r="E2012" s="2"/>
      <c r="G2012" s="3"/>
      <c r="H2012" s="3"/>
      <c r="I2012" s="3"/>
      <c r="J2012" s="3"/>
      <c r="K2012" s="3"/>
      <c r="L2012" s="3"/>
      <c r="N2012" s="10"/>
      <c r="O2012" s="3"/>
      <c r="P2012" s="3"/>
      <c r="Q2012" s="3"/>
    </row>
    <row r="2013" spans="5:17" x14ac:dyDescent="0.25">
      <c r="E2013" s="2"/>
      <c r="G2013" s="3"/>
      <c r="H2013" s="3"/>
      <c r="I2013" s="3"/>
      <c r="J2013" s="3"/>
      <c r="K2013" s="3"/>
      <c r="L2013" s="3"/>
      <c r="N2013" s="10"/>
      <c r="O2013" s="3"/>
      <c r="P2013" s="3"/>
      <c r="Q2013" s="3"/>
    </row>
    <row r="2014" spans="5:17" x14ac:dyDescent="0.25">
      <c r="E2014" s="2"/>
      <c r="G2014" s="3"/>
      <c r="H2014" s="3"/>
      <c r="I2014" s="3"/>
      <c r="J2014" s="3"/>
      <c r="K2014" s="3"/>
      <c r="L2014" s="3"/>
      <c r="N2014" s="10"/>
      <c r="O2014" s="3"/>
      <c r="P2014" s="3"/>
      <c r="Q2014" s="3"/>
    </row>
    <row r="2015" spans="5:17" x14ac:dyDescent="0.25">
      <c r="E2015" s="2"/>
      <c r="G2015" s="3"/>
      <c r="H2015" s="3"/>
      <c r="I2015" s="3"/>
      <c r="J2015" s="3"/>
      <c r="K2015" s="3"/>
      <c r="L2015" s="3"/>
      <c r="N2015" s="10"/>
      <c r="O2015" s="3"/>
      <c r="P2015" s="3"/>
      <c r="Q2015" s="3"/>
    </row>
    <row r="2016" spans="5:17" x14ac:dyDescent="0.25">
      <c r="E2016" s="2"/>
      <c r="G2016" s="3"/>
      <c r="H2016" s="3"/>
      <c r="I2016" s="3"/>
      <c r="J2016" s="3"/>
      <c r="K2016" s="3"/>
      <c r="L2016" s="3"/>
      <c r="N2016" s="10"/>
      <c r="O2016" s="3"/>
      <c r="P2016" s="3"/>
      <c r="Q2016" s="3"/>
    </row>
    <row r="2017" spans="5:17" x14ac:dyDescent="0.25">
      <c r="E2017" s="2"/>
      <c r="G2017" s="3"/>
      <c r="H2017" s="3"/>
      <c r="I2017" s="3"/>
      <c r="J2017" s="3"/>
      <c r="K2017" s="3"/>
      <c r="L2017" s="3"/>
      <c r="N2017" s="10"/>
      <c r="O2017" s="3"/>
      <c r="P2017" s="3"/>
      <c r="Q2017" s="3"/>
    </row>
    <row r="2018" spans="5:17" x14ac:dyDescent="0.25">
      <c r="E2018" s="2"/>
      <c r="G2018" s="3"/>
      <c r="H2018" s="3"/>
      <c r="I2018" s="3"/>
      <c r="J2018" s="3"/>
      <c r="K2018" s="3"/>
      <c r="L2018" s="3"/>
      <c r="N2018" s="10"/>
      <c r="O2018" s="3"/>
      <c r="P2018" s="3"/>
      <c r="Q2018" s="3"/>
    </row>
    <row r="2019" spans="5:17" x14ac:dyDescent="0.25">
      <c r="E2019" s="2"/>
      <c r="G2019" s="3"/>
      <c r="H2019" s="3"/>
      <c r="I2019" s="3"/>
      <c r="J2019" s="3"/>
      <c r="K2019" s="3"/>
      <c r="L2019" s="3"/>
      <c r="N2019" s="10"/>
      <c r="O2019" s="3"/>
      <c r="P2019" s="3"/>
      <c r="Q2019" s="3"/>
    </row>
    <row r="2020" spans="5:17" x14ac:dyDescent="0.25">
      <c r="E2020" s="2"/>
      <c r="G2020" s="3"/>
      <c r="H2020" s="3"/>
      <c r="I2020" s="3"/>
      <c r="J2020" s="3"/>
      <c r="K2020" s="3"/>
      <c r="L2020" s="3"/>
      <c r="N2020" s="10"/>
      <c r="O2020" s="3"/>
      <c r="P2020" s="3"/>
      <c r="Q2020" s="3"/>
    </row>
    <row r="2021" spans="5:17" x14ac:dyDescent="0.25">
      <c r="E2021" s="2"/>
      <c r="G2021" s="3"/>
      <c r="H2021" s="3"/>
      <c r="I2021" s="3"/>
      <c r="J2021" s="3"/>
      <c r="K2021" s="3"/>
      <c r="L2021" s="3"/>
      <c r="N2021" s="10"/>
      <c r="O2021" s="3"/>
      <c r="P2021" s="3"/>
      <c r="Q2021" s="3"/>
    </row>
    <row r="2022" spans="5:17" x14ac:dyDescent="0.25">
      <c r="E2022" s="2"/>
      <c r="G2022" s="3"/>
      <c r="H2022" s="3"/>
      <c r="I2022" s="3"/>
      <c r="J2022" s="3"/>
      <c r="K2022" s="3"/>
      <c r="L2022" s="3"/>
      <c r="N2022" s="10"/>
      <c r="O2022" s="3"/>
      <c r="P2022" s="3"/>
      <c r="Q2022" s="3"/>
    </row>
    <row r="2023" spans="5:17" x14ac:dyDescent="0.25">
      <c r="E2023" s="2"/>
      <c r="G2023" s="3"/>
      <c r="H2023" s="3"/>
      <c r="I2023" s="3"/>
      <c r="J2023" s="3"/>
      <c r="K2023" s="3"/>
      <c r="L2023" s="3"/>
      <c r="N2023" s="10"/>
      <c r="O2023" s="3"/>
      <c r="P2023" s="3"/>
      <c r="Q2023" s="3"/>
    </row>
    <row r="2024" spans="5:17" x14ac:dyDescent="0.25">
      <c r="E2024" s="2"/>
      <c r="G2024" s="3"/>
      <c r="H2024" s="3"/>
      <c r="I2024" s="3"/>
      <c r="J2024" s="3"/>
      <c r="K2024" s="3"/>
      <c r="L2024" s="3"/>
      <c r="N2024" s="10"/>
      <c r="O2024" s="3"/>
      <c r="P2024" s="3"/>
      <c r="Q2024" s="3"/>
    </row>
    <row r="2025" spans="5:17" x14ac:dyDescent="0.25">
      <c r="E2025" s="2"/>
      <c r="G2025" s="3"/>
      <c r="H2025" s="3"/>
      <c r="I2025" s="3"/>
      <c r="J2025" s="3"/>
      <c r="K2025" s="3"/>
      <c r="L2025" s="3"/>
      <c r="N2025" s="10"/>
      <c r="O2025" s="3"/>
      <c r="P2025" s="3"/>
      <c r="Q2025" s="3"/>
    </row>
    <row r="2026" spans="5:17" x14ac:dyDescent="0.25">
      <c r="E2026" s="2"/>
      <c r="G2026" s="3"/>
      <c r="H2026" s="3"/>
      <c r="I2026" s="3"/>
      <c r="J2026" s="3"/>
      <c r="K2026" s="3"/>
      <c r="L2026" s="3"/>
      <c r="N2026" s="10"/>
      <c r="O2026" s="3"/>
      <c r="P2026" s="3"/>
      <c r="Q2026" s="3"/>
    </row>
    <row r="2027" spans="5:17" x14ac:dyDescent="0.25">
      <c r="E2027" s="2"/>
      <c r="G2027" s="3"/>
      <c r="H2027" s="3"/>
      <c r="I2027" s="3"/>
      <c r="J2027" s="3"/>
      <c r="K2027" s="3"/>
      <c r="L2027" s="3"/>
      <c r="N2027" s="10"/>
      <c r="O2027" s="3"/>
      <c r="P2027" s="3"/>
      <c r="Q2027" s="3"/>
    </row>
    <row r="2028" spans="5:17" x14ac:dyDescent="0.25">
      <c r="E2028" s="2"/>
      <c r="G2028" s="3"/>
      <c r="H2028" s="3"/>
      <c r="I2028" s="3"/>
      <c r="J2028" s="3"/>
      <c r="K2028" s="3"/>
      <c r="L2028" s="3"/>
      <c r="N2028" s="10"/>
      <c r="O2028" s="3"/>
      <c r="P2028" s="3"/>
      <c r="Q2028" s="3"/>
    </row>
    <row r="2029" spans="5:17" x14ac:dyDescent="0.25">
      <c r="E2029" s="2"/>
      <c r="G2029" s="3"/>
      <c r="H2029" s="3"/>
      <c r="I2029" s="3"/>
      <c r="J2029" s="3"/>
      <c r="K2029" s="3"/>
      <c r="L2029" s="3"/>
      <c r="N2029" s="10"/>
      <c r="O2029" s="3"/>
      <c r="P2029" s="3"/>
      <c r="Q2029" s="3"/>
    </row>
    <row r="2030" spans="5:17" x14ac:dyDescent="0.25">
      <c r="E2030" s="2"/>
      <c r="G2030" s="3"/>
      <c r="H2030" s="3"/>
      <c r="I2030" s="3"/>
      <c r="J2030" s="3"/>
      <c r="K2030" s="3"/>
      <c r="L2030" s="3"/>
      <c r="N2030" s="10"/>
      <c r="O2030" s="3"/>
      <c r="P2030" s="3"/>
      <c r="Q2030" s="3"/>
    </row>
    <row r="2031" spans="5:17" x14ac:dyDescent="0.25">
      <c r="E2031" s="2"/>
      <c r="G2031" s="3"/>
      <c r="H2031" s="3"/>
      <c r="I2031" s="3"/>
      <c r="J2031" s="3"/>
      <c r="K2031" s="3"/>
      <c r="L2031" s="3"/>
      <c r="N2031" s="10"/>
      <c r="O2031" s="3"/>
      <c r="P2031" s="3"/>
      <c r="Q2031" s="3"/>
    </row>
    <row r="2032" spans="5:17" x14ac:dyDescent="0.25">
      <c r="E2032" s="2"/>
      <c r="G2032" s="3"/>
      <c r="H2032" s="3"/>
      <c r="I2032" s="3"/>
      <c r="J2032" s="3"/>
      <c r="K2032" s="3"/>
      <c r="L2032" s="3"/>
      <c r="N2032" s="10"/>
      <c r="O2032" s="3"/>
      <c r="P2032" s="3"/>
      <c r="Q2032" s="3"/>
    </row>
    <row r="2033" spans="5:17" x14ac:dyDescent="0.25">
      <c r="E2033" s="2"/>
      <c r="G2033" s="3"/>
      <c r="H2033" s="3"/>
      <c r="I2033" s="3"/>
      <c r="J2033" s="3"/>
      <c r="K2033" s="3"/>
      <c r="L2033" s="3"/>
      <c r="N2033" s="10"/>
      <c r="O2033" s="3"/>
      <c r="P2033" s="3"/>
      <c r="Q2033" s="3"/>
    </row>
    <row r="2034" spans="5:17" x14ac:dyDescent="0.25">
      <c r="E2034" s="2"/>
      <c r="G2034" s="3"/>
      <c r="H2034" s="3"/>
      <c r="I2034" s="3"/>
      <c r="J2034" s="3"/>
      <c r="K2034" s="3"/>
      <c r="L2034" s="3"/>
      <c r="N2034" s="10"/>
      <c r="O2034" s="3"/>
      <c r="P2034" s="3"/>
      <c r="Q2034" s="3"/>
    </row>
    <row r="2035" spans="5:17" x14ac:dyDescent="0.25">
      <c r="E2035" s="2"/>
      <c r="G2035" s="3"/>
      <c r="H2035" s="3"/>
      <c r="I2035" s="3"/>
      <c r="J2035" s="3"/>
      <c r="K2035" s="3"/>
      <c r="L2035" s="3"/>
      <c r="N2035" s="10"/>
      <c r="O2035" s="3"/>
      <c r="P2035" s="3"/>
      <c r="Q2035" s="3"/>
    </row>
    <row r="2036" spans="5:17" x14ac:dyDescent="0.25">
      <c r="E2036" s="2"/>
      <c r="G2036" s="3"/>
      <c r="H2036" s="3"/>
      <c r="I2036" s="3"/>
      <c r="J2036" s="3"/>
      <c r="K2036" s="3"/>
      <c r="L2036" s="3"/>
      <c r="N2036" s="10"/>
      <c r="O2036" s="3"/>
      <c r="P2036" s="3"/>
      <c r="Q2036" s="3"/>
    </row>
    <row r="2037" spans="5:17" x14ac:dyDescent="0.25">
      <c r="E2037" s="2"/>
      <c r="G2037" s="3"/>
      <c r="H2037" s="3"/>
      <c r="I2037" s="3"/>
      <c r="J2037" s="3"/>
      <c r="K2037" s="3"/>
      <c r="L2037" s="3"/>
      <c r="N2037" s="10"/>
      <c r="O2037" s="3"/>
      <c r="P2037" s="3"/>
      <c r="Q2037" s="3"/>
    </row>
    <row r="2038" spans="5:17" x14ac:dyDescent="0.25">
      <c r="E2038" s="2"/>
      <c r="G2038" s="3"/>
      <c r="H2038" s="3"/>
      <c r="I2038" s="3"/>
      <c r="J2038" s="3"/>
      <c r="K2038" s="3"/>
      <c r="L2038" s="3"/>
      <c r="N2038" s="10"/>
      <c r="O2038" s="3"/>
      <c r="P2038" s="3"/>
      <c r="Q2038" s="3"/>
    </row>
    <row r="2039" spans="5:17" x14ac:dyDescent="0.25">
      <c r="E2039" s="2"/>
      <c r="G2039" s="3"/>
      <c r="H2039" s="3"/>
      <c r="I2039" s="3"/>
      <c r="J2039" s="3"/>
      <c r="K2039" s="3"/>
      <c r="L2039" s="3"/>
      <c r="N2039" s="10"/>
      <c r="O2039" s="3"/>
      <c r="P2039" s="3"/>
      <c r="Q2039" s="3"/>
    </row>
    <row r="2040" spans="5:17" x14ac:dyDescent="0.25">
      <c r="E2040" s="2"/>
      <c r="G2040" s="3"/>
      <c r="H2040" s="3"/>
      <c r="I2040" s="3"/>
      <c r="J2040" s="3"/>
      <c r="K2040" s="3"/>
      <c r="L2040" s="3"/>
      <c r="N2040" s="10"/>
      <c r="O2040" s="3"/>
      <c r="P2040" s="3"/>
      <c r="Q2040" s="3"/>
    </row>
    <row r="2041" spans="5:17" x14ac:dyDescent="0.25">
      <c r="E2041" s="2"/>
      <c r="G2041" s="3"/>
      <c r="H2041" s="3"/>
      <c r="I2041" s="3"/>
      <c r="J2041" s="3"/>
      <c r="K2041" s="3"/>
      <c r="L2041" s="3"/>
      <c r="N2041" s="10"/>
      <c r="O2041" s="3"/>
      <c r="P2041" s="3"/>
      <c r="Q2041" s="3"/>
    </row>
    <row r="2042" spans="5:17" x14ac:dyDescent="0.25">
      <c r="E2042" s="2"/>
      <c r="G2042" s="3"/>
      <c r="H2042" s="3"/>
      <c r="I2042" s="3"/>
      <c r="J2042" s="3"/>
      <c r="K2042" s="3"/>
      <c r="L2042" s="3"/>
      <c r="N2042" s="10"/>
      <c r="O2042" s="3"/>
      <c r="P2042" s="3"/>
      <c r="Q2042" s="3"/>
    </row>
    <row r="2043" spans="5:17" x14ac:dyDescent="0.25">
      <c r="E2043" s="2"/>
      <c r="G2043" s="3"/>
      <c r="H2043" s="3"/>
      <c r="I2043" s="3"/>
      <c r="J2043" s="3"/>
      <c r="K2043" s="3"/>
      <c r="L2043" s="3"/>
      <c r="N2043" s="10"/>
      <c r="O2043" s="3"/>
      <c r="P2043" s="3"/>
      <c r="Q2043" s="3"/>
    </row>
    <row r="2044" spans="5:17" x14ac:dyDescent="0.25">
      <c r="E2044" s="2"/>
      <c r="G2044" s="3"/>
      <c r="H2044" s="3"/>
      <c r="I2044" s="3"/>
      <c r="J2044" s="3"/>
      <c r="K2044" s="3"/>
      <c r="L2044" s="3"/>
      <c r="N2044" s="10"/>
      <c r="O2044" s="3"/>
      <c r="P2044" s="3"/>
      <c r="Q2044" s="3"/>
    </row>
    <row r="2045" spans="5:17" x14ac:dyDescent="0.25">
      <c r="E2045" s="2"/>
      <c r="G2045" s="3"/>
      <c r="H2045" s="3"/>
      <c r="I2045" s="3"/>
      <c r="J2045" s="3"/>
      <c r="K2045" s="3"/>
      <c r="L2045" s="3"/>
      <c r="N2045" s="10"/>
      <c r="O2045" s="3"/>
      <c r="P2045" s="3"/>
      <c r="Q2045" s="3"/>
    </row>
    <row r="2046" spans="5:17" x14ac:dyDescent="0.25">
      <c r="E2046" s="2"/>
      <c r="G2046" s="3"/>
      <c r="H2046" s="3"/>
      <c r="I2046" s="3"/>
      <c r="J2046" s="3"/>
      <c r="K2046" s="3"/>
      <c r="L2046" s="3"/>
      <c r="N2046" s="10"/>
      <c r="O2046" s="3"/>
      <c r="P2046" s="3"/>
      <c r="Q2046" s="3"/>
    </row>
    <row r="2047" spans="5:17" x14ac:dyDescent="0.25">
      <c r="E2047" s="2"/>
      <c r="G2047" s="3"/>
      <c r="H2047" s="3"/>
      <c r="I2047" s="3"/>
      <c r="J2047" s="3"/>
      <c r="K2047" s="3"/>
      <c r="L2047" s="3"/>
      <c r="N2047" s="10"/>
      <c r="O2047" s="3"/>
      <c r="P2047" s="3"/>
      <c r="Q2047" s="3"/>
    </row>
    <row r="2048" spans="5:17" x14ac:dyDescent="0.25">
      <c r="E2048" s="2"/>
      <c r="G2048" s="3"/>
      <c r="H2048" s="3"/>
      <c r="I2048" s="3"/>
      <c r="J2048" s="3"/>
      <c r="K2048" s="3"/>
      <c r="L2048" s="3"/>
      <c r="N2048" s="10"/>
      <c r="O2048" s="3"/>
      <c r="P2048" s="3"/>
      <c r="Q2048" s="3"/>
    </row>
    <row r="2049" spans="5:17" x14ac:dyDescent="0.25">
      <c r="E2049" s="2"/>
      <c r="G2049" s="3"/>
      <c r="H2049" s="3"/>
      <c r="I2049" s="3"/>
      <c r="J2049" s="3"/>
      <c r="K2049" s="3"/>
      <c r="L2049" s="3"/>
      <c r="N2049" s="10"/>
      <c r="O2049" s="3"/>
      <c r="P2049" s="3"/>
      <c r="Q2049" s="3"/>
    </row>
    <row r="2050" spans="5:17" x14ac:dyDescent="0.25">
      <c r="E2050" s="2"/>
      <c r="G2050" s="3"/>
      <c r="H2050" s="3"/>
      <c r="I2050" s="3"/>
      <c r="J2050" s="3"/>
      <c r="K2050" s="3"/>
      <c r="L2050" s="3"/>
      <c r="N2050" s="10"/>
      <c r="O2050" s="3"/>
      <c r="P2050" s="3"/>
      <c r="Q2050" s="3"/>
    </row>
    <row r="2051" spans="5:17" x14ac:dyDescent="0.25">
      <c r="E2051" s="2"/>
      <c r="G2051" s="3"/>
      <c r="H2051" s="3"/>
      <c r="I2051" s="3"/>
      <c r="J2051" s="3"/>
      <c r="K2051" s="3"/>
      <c r="L2051" s="3"/>
      <c r="N2051" s="10"/>
      <c r="O2051" s="3"/>
      <c r="P2051" s="3"/>
      <c r="Q2051" s="3"/>
    </row>
    <row r="2052" spans="5:17" x14ac:dyDescent="0.25">
      <c r="E2052" s="2"/>
      <c r="G2052" s="3"/>
      <c r="H2052" s="3"/>
      <c r="I2052" s="3"/>
      <c r="J2052" s="3"/>
      <c r="K2052" s="3"/>
      <c r="L2052" s="3"/>
      <c r="N2052" s="10"/>
      <c r="O2052" s="3"/>
      <c r="P2052" s="3"/>
      <c r="Q2052" s="3"/>
    </row>
    <row r="2053" spans="5:17" x14ac:dyDescent="0.25">
      <c r="E2053" s="2"/>
      <c r="G2053" s="3"/>
      <c r="H2053" s="3"/>
      <c r="I2053" s="3"/>
      <c r="J2053" s="3"/>
      <c r="K2053" s="3"/>
      <c r="L2053" s="3"/>
      <c r="N2053" s="10"/>
      <c r="O2053" s="3"/>
      <c r="P2053" s="3"/>
      <c r="Q2053" s="3"/>
    </row>
    <row r="2054" spans="5:17" x14ac:dyDescent="0.25">
      <c r="E2054" s="2"/>
      <c r="G2054" s="3"/>
      <c r="H2054" s="3"/>
      <c r="I2054" s="3"/>
      <c r="J2054" s="3"/>
      <c r="K2054" s="3"/>
      <c r="L2054" s="3"/>
      <c r="N2054" s="10"/>
      <c r="O2054" s="3"/>
      <c r="P2054" s="3"/>
      <c r="Q2054" s="3"/>
    </row>
    <row r="2055" spans="5:17" x14ac:dyDescent="0.25">
      <c r="E2055" s="2"/>
      <c r="G2055" s="3"/>
      <c r="H2055" s="3"/>
      <c r="I2055" s="3"/>
      <c r="J2055" s="3"/>
      <c r="K2055" s="3"/>
      <c r="L2055" s="3"/>
      <c r="N2055" s="10"/>
      <c r="O2055" s="3"/>
      <c r="P2055" s="3"/>
      <c r="Q2055" s="3"/>
    </row>
    <row r="2056" spans="5:17" x14ac:dyDescent="0.25">
      <c r="E2056" s="2"/>
      <c r="G2056" s="3"/>
      <c r="H2056" s="3"/>
      <c r="I2056" s="3"/>
      <c r="J2056" s="3"/>
      <c r="K2056" s="3"/>
      <c r="L2056" s="3"/>
      <c r="N2056" s="10"/>
      <c r="O2056" s="3"/>
      <c r="P2056" s="3"/>
      <c r="Q2056" s="3"/>
    </row>
    <row r="2057" spans="5:17" x14ac:dyDescent="0.25">
      <c r="E2057" s="2"/>
      <c r="G2057" s="3"/>
      <c r="H2057" s="3"/>
      <c r="I2057" s="3"/>
      <c r="J2057" s="3"/>
      <c r="K2057" s="3"/>
      <c r="L2057" s="3"/>
      <c r="N2057" s="10"/>
      <c r="O2057" s="3"/>
      <c r="P2057" s="3"/>
      <c r="Q2057" s="3"/>
    </row>
    <row r="2058" spans="5:17" x14ac:dyDescent="0.25">
      <c r="E2058" s="2"/>
      <c r="G2058" s="3"/>
      <c r="H2058" s="3"/>
      <c r="I2058" s="3"/>
      <c r="J2058" s="3"/>
      <c r="K2058" s="3"/>
      <c r="L2058" s="3"/>
      <c r="N2058" s="10"/>
      <c r="O2058" s="3"/>
      <c r="P2058" s="3"/>
      <c r="Q2058" s="3"/>
    </row>
    <row r="2059" spans="5:17" x14ac:dyDescent="0.25">
      <c r="E2059" s="2"/>
      <c r="G2059" s="3"/>
      <c r="H2059" s="3"/>
      <c r="I2059" s="3"/>
      <c r="J2059" s="3"/>
      <c r="K2059" s="3"/>
      <c r="L2059" s="3"/>
      <c r="N2059" s="10"/>
      <c r="O2059" s="3"/>
      <c r="P2059" s="3"/>
      <c r="Q2059" s="3"/>
    </row>
    <row r="2060" spans="5:17" x14ac:dyDescent="0.25">
      <c r="E2060" s="2"/>
      <c r="G2060" s="3"/>
      <c r="H2060" s="3"/>
      <c r="I2060" s="3"/>
      <c r="J2060" s="3"/>
      <c r="K2060" s="3"/>
      <c r="L2060" s="3"/>
      <c r="N2060" s="10"/>
      <c r="O2060" s="3"/>
      <c r="P2060" s="3"/>
      <c r="Q2060" s="3"/>
    </row>
    <row r="2061" spans="5:17" x14ac:dyDescent="0.25">
      <c r="E2061" s="2"/>
      <c r="G2061" s="3"/>
      <c r="H2061" s="3"/>
      <c r="I2061" s="3"/>
      <c r="J2061" s="3"/>
      <c r="K2061" s="3"/>
      <c r="L2061" s="3"/>
      <c r="N2061" s="10"/>
      <c r="O2061" s="3"/>
      <c r="P2061" s="3"/>
      <c r="Q2061" s="3"/>
    </row>
    <row r="2062" spans="5:17" x14ac:dyDescent="0.25">
      <c r="E2062" s="2"/>
      <c r="G2062" s="3"/>
      <c r="H2062" s="3"/>
      <c r="I2062" s="3"/>
      <c r="J2062" s="3"/>
      <c r="K2062" s="3"/>
      <c r="L2062" s="3"/>
      <c r="N2062" s="10"/>
      <c r="O2062" s="3"/>
      <c r="P2062" s="3"/>
      <c r="Q2062" s="3"/>
    </row>
    <row r="2063" spans="5:17" x14ac:dyDescent="0.25">
      <c r="E2063" s="2"/>
      <c r="G2063" s="3"/>
      <c r="H2063" s="3"/>
      <c r="I2063" s="3"/>
      <c r="J2063" s="3"/>
      <c r="K2063" s="3"/>
      <c r="L2063" s="3"/>
      <c r="N2063" s="10"/>
      <c r="O2063" s="3"/>
      <c r="P2063" s="3"/>
      <c r="Q2063" s="3"/>
    </row>
    <row r="2064" spans="5:17" x14ac:dyDescent="0.25">
      <c r="E2064" s="2"/>
      <c r="G2064" s="3"/>
      <c r="H2064" s="3"/>
      <c r="I2064" s="3"/>
      <c r="J2064" s="3"/>
      <c r="K2064" s="3"/>
      <c r="L2064" s="3"/>
      <c r="N2064" s="10"/>
      <c r="O2064" s="3"/>
      <c r="P2064" s="3"/>
      <c r="Q2064" s="3"/>
    </row>
    <row r="2065" spans="5:17" x14ac:dyDescent="0.25">
      <c r="E2065" s="2"/>
      <c r="G2065" s="3"/>
      <c r="H2065" s="3"/>
      <c r="I2065" s="3"/>
      <c r="J2065" s="3"/>
      <c r="K2065" s="3"/>
      <c r="L2065" s="3"/>
      <c r="N2065" s="10"/>
      <c r="O2065" s="3"/>
      <c r="P2065" s="3"/>
      <c r="Q2065" s="3"/>
    </row>
    <row r="2066" spans="5:17" x14ac:dyDescent="0.25">
      <c r="E2066" s="2"/>
      <c r="G2066" s="3"/>
      <c r="H2066" s="3"/>
      <c r="I2066" s="3"/>
      <c r="J2066" s="3"/>
      <c r="K2066" s="3"/>
      <c r="L2066" s="3"/>
      <c r="N2066" s="10"/>
      <c r="O2066" s="3"/>
      <c r="P2066" s="3"/>
      <c r="Q2066" s="3"/>
    </row>
    <row r="2067" spans="5:17" x14ac:dyDescent="0.25">
      <c r="E2067" s="2"/>
      <c r="G2067" s="3"/>
      <c r="H2067" s="3"/>
      <c r="I2067" s="3"/>
      <c r="J2067" s="3"/>
      <c r="K2067" s="3"/>
      <c r="L2067" s="3"/>
      <c r="N2067" s="10"/>
      <c r="O2067" s="3"/>
      <c r="P2067" s="3"/>
      <c r="Q2067" s="3"/>
    </row>
    <row r="2068" spans="5:17" x14ac:dyDescent="0.25">
      <c r="E2068" s="2"/>
      <c r="G2068" s="3"/>
      <c r="H2068" s="3"/>
      <c r="I2068" s="3"/>
      <c r="J2068" s="3"/>
      <c r="K2068" s="3"/>
      <c r="L2068" s="3"/>
      <c r="N2068" s="10"/>
      <c r="O2068" s="3"/>
      <c r="P2068" s="3"/>
      <c r="Q2068" s="3"/>
    </row>
    <row r="2069" spans="5:17" x14ac:dyDescent="0.25">
      <c r="E2069" s="2"/>
      <c r="G2069" s="3"/>
      <c r="H2069" s="3"/>
      <c r="I2069" s="3"/>
      <c r="J2069" s="3"/>
      <c r="K2069" s="3"/>
      <c r="L2069" s="3"/>
      <c r="N2069" s="10"/>
      <c r="O2069" s="3"/>
      <c r="P2069" s="3"/>
      <c r="Q2069" s="3"/>
    </row>
    <row r="2070" spans="5:17" x14ac:dyDescent="0.25">
      <c r="E2070" s="2"/>
      <c r="G2070" s="3"/>
      <c r="H2070" s="3"/>
      <c r="I2070" s="3"/>
      <c r="J2070" s="3"/>
      <c r="K2070" s="3"/>
      <c r="L2070" s="3"/>
      <c r="N2070" s="10"/>
      <c r="O2070" s="3"/>
      <c r="P2070" s="3"/>
      <c r="Q2070" s="3"/>
    </row>
    <row r="2071" spans="5:17" x14ac:dyDescent="0.25">
      <c r="E2071" s="2"/>
      <c r="G2071" s="3"/>
      <c r="H2071" s="3"/>
      <c r="I2071" s="3"/>
      <c r="J2071" s="3"/>
      <c r="K2071" s="3"/>
      <c r="L2071" s="3"/>
      <c r="N2071" s="10"/>
      <c r="O2071" s="3"/>
      <c r="P2071" s="3"/>
      <c r="Q2071" s="3"/>
    </row>
    <row r="2072" spans="5:17" x14ac:dyDescent="0.25">
      <c r="E2072" s="2"/>
      <c r="G2072" s="3"/>
      <c r="H2072" s="3"/>
      <c r="I2072" s="3"/>
      <c r="J2072" s="3"/>
      <c r="K2072" s="3"/>
      <c r="L2072" s="3"/>
      <c r="N2072" s="10"/>
      <c r="O2072" s="3"/>
      <c r="P2072" s="3"/>
      <c r="Q2072" s="3"/>
    </row>
    <row r="2073" spans="5:17" x14ac:dyDescent="0.25">
      <c r="E2073" s="2"/>
      <c r="G2073" s="3"/>
      <c r="H2073" s="3"/>
      <c r="I2073" s="3"/>
      <c r="J2073" s="3"/>
      <c r="K2073" s="3"/>
      <c r="L2073" s="3"/>
      <c r="N2073" s="10"/>
      <c r="O2073" s="3"/>
      <c r="P2073" s="3"/>
      <c r="Q2073" s="3"/>
    </row>
    <row r="2074" spans="5:17" x14ac:dyDescent="0.25">
      <c r="E2074" s="2"/>
      <c r="G2074" s="3"/>
      <c r="H2074" s="3"/>
      <c r="I2074" s="3"/>
      <c r="J2074" s="3"/>
      <c r="K2074" s="3"/>
      <c r="L2074" s="3"/>
      <c r="N2074" s="10"/>
      <c r="O2074" s="3"/>
      <c r="P2074" s="3"/>
      <c r="Q2074" s="3"/>
    </row>
    <row r="2075" spans="5:17" x14ac:dyDescent="0.25">
      <c r="E2075" s="2"/>
      <c r="G2075" s="3"/>
      <c r="H2075" s="3"/>
      <c r="I2075" s="3"/>
      <c r="J2075" s="3"/>
      <c r="K2075" s="3"/>
      <c r="L2075" s="3"/>
      <c r="N2075" s="10"/>
      <c r="O2075" s="3"/>
      <c r="P2075" s="3"/>
      <c r="Q2075" s="3"/>
    </row>
    <row r="2076" spans="5:17" x14ac:dyDescent="0.25">
      <c r="E2076" s="2"/>
      <c r="G2076" s="3"/>
      <c r="H2076" s="3"/>
      <c r="I2076" s="3"/>
      <c r="J2076" s="3"/>
      <c r="K2076" s="3"/>
      <c r="L2076" s="3"/>
      <c r="N2076" s="10"/>
      <c r="O2076" s="3"/>
      <c r="P2076" s="3"/>
      <c r="Q2076" s="3"/>
    </row>
    <row r="2077" spans="5:17" x14ac:dyDescent="0.25">
      <c r="E2077" s="2"/>
      <c r="G2077" s="3"/>
      <c r="H2077" s="3"/>
      <c r="I2077" s="3"/>
      <c r="J2077" s="3"/>
      <c r="K2077" s="3"/>
      <c r="L2077" s="3"/>
      <c r="N2077" s="10"/>
      <c r="O2077" s="3"/>
      <c r="P2077" s="3"/>
      <c r="Q2077" s="3"/>
    </row>
    <row r="2078" spans="5:17" x14ac:dyDescent="0.25">
      <c r="E2078" s="2"/>
      <c r="G2078" s="3"/>
      <c r="H2078" s="3"/>
      <c r="I2078" s="3"/>
      <c r="J2078" s="3"/>
      <c r="K2078" s="3"/>
      <c r="L2078" s="3"/>
      <c r="N2078" s="10"/>
      <c r="O2078" s="3"/>
      <c r="P2078" s="3"/>
      <c r="Q2078" s="3"/>
    </row>
    <row r="2079" spans="5:17" x14ac:dyDescent="0.25">
      <c r="E2079" s="2"/>
      <c r="G2079" s="3"/>
      <c r="H2079" s="3"/>
      <c r="I2079" s="3"/>
      <c r="J2079" s="3"/>
      <c r="K2079" s="3"/>
      <c r="L2079" s="3"/>
      <c r="N2079" s="10"/>
      <c r="O2079" s="3"/>
      <c r="P2079" s="3"/>
      <c r="Q2079" s="3"/>
    </row>
    <row r="2080" spans="5:17" x14ac:dyDescent="0.25">
      <c r="E2080" s="2"/>
      <c r="G2080" s="3"/>
      <c r="H2080" s="3"/>
      <c r="I2080" s="3"/>
      <c r="J2080" s="3"/>
      <c r="K2080" s="3"/>
      <c r="L2080" s="3"/>
      <c r="N2080" s="10"/>
      <c r="O2080" s="3"/>
      <c r="P2080" s="3"/>
      <c r="Q2080" s="3"/>
    </row>
    <row r="2081" spans="5:17" x14ac:dyDescent="0.25">
      <c r="E2081" s="2"/>
      <c r="G2081" s="3"/>
      <c r="H2081" s="3"/>
      <c r="I2081" s="3"/>
      <c r="J2081" s="3"/>
      <c r="K2081" s="3"/>
      <c r="L2081" s="3"/>
      <c r="N2081" s="10"/>
      <c r="O2081" s="3"/>
      <c r="P2081" s="3"/>
      <c r="Q2081" s="3"/>
    </row>
    <row r="2082" spans="5:17" x14ac:dyDescent="0.25">
      <c r="E2082" s="2"/>
      <c r="G2082" s="3"/>
      <c r="H2082" s="3"/>
      <c r="I2082" s="3"/>
      <c r="J2082" s="3"/>
      <c r="K2082" s="3"/>
      <c r="L2082" s="3"/>
      <c r="N2082" s="10"/>
      <c r="O2082" s="3"/>
      <c r="P2082" s="3"/>
      <c r="Q2082" s="3"/>
    </row>
    <row r="2083" spans="5:17" x14ac:dyDescent="0.25">
      <c r="E2083" s="2"/>
      <c r="G2083" s="3"/>
      <c r="H2083" s="3"/>
      <c r="I2083" s="3"/>
      <c r="J2083" s="3"/>
      <c r="K2083" s="3"/>
      <c r="L2083" s="3"/>
      <c r="N2083" s="10"/>
      <c r="O2083" s="3"/>
      <c r="P2083" s="3"/>
      <c r="Q2083" s="3"/>
    </row>
    <row r="2084" spans="5:17" x14ac:dyDescent="0.25">
      <c r="E2084" s="2"/>
      <c r="G2084" s="3"/>
      <c r="H2084" s="3"/>
      <c r="I2084" s="3"/>
      <c r="J2084" s="3"/>
      <c r="K2084" s="3"/>
      <c r="L2084" s="3"/>
      <c r="N2084" s="10"/>
      <c r="O2084" s="3"/>
      <c r="P2084" s="3"/>
      <c r="Q2084" s="3"/>
    </row>
    <row r="2085" spans="5:17" x14ac:dyDescent="0.25">
      <c r="E2085" s="2"/>
      <c r="G2085" s="3"/>
      <c r="H2085" s="3"/>
      <c r="I2085" s="3"/>
      <c r="J2085" s="3"/>
      <c r="K2085" s="3"/>
      <c r="L2085" s="3"/>
      <c r="N2085" s="10"/>
      <c r="O2085" s="3"/>
      <c r="P2085" s="3"/>
      <c r="Q2085" s="3"/>
    </row>
    <row r="2086" spans="5:17" x14ac:dyDescent="0.25">
      <c r="E2086" s="2"/>
      <c r="G2086" s="3"/>
      <c r="H2086" s="3"/>
      <c r="I2086" s="3"/>
      <c r="J2086" s="3"/>
      <c r="K2086" s="3"/>
      <c r="L2086" s="3"/>
      <c r="N2086" s="10"/>
      <c r="O2086" s="3"/>
      <c r="P2086" s="3"/>
      <c r="Q2086" s="3"/>
    </row>
    <row r="2087" spans="5:17" x14ac:dyDescent="0.25">
      <c r="E2087" s="2"/>
      <c r="G2087" s="3"/>
      <c r="H2087" s="3"/>
      <c r="I2087" s="3"/>
      <c r="J2087" s="3"/>
      <c r="K2087" s="3"/>
      <c r="L2087" s="3"/>
      <c r="N2087" s="10"/>
      <c r="O2087" s="3"/>
      <c r="P2087" s="3"/>
      <c r="Q2087" s="3"/>
    </row>
    <row r="2088" spans="5:17" x14ac:dyDescent="0.25">
      <c r="E2088" s="2"/>
      <c r="G2088" s="3"/>
      <c r="H2088" s="3"/>
      <c r="I2088" s="3"/>
      <c r="J2088" s="3"/>
      <c r="K2088" s="3"/>
      <c r="L2088" s="3"/>
      <c r="N2088" s="10"/>
      <c r="O2088" s="3"/>
      <c r="P2088" s="3"/>
      <c r="Q2088" s="3"/>
    </row>
    <row r="2089" spans="5:17" x14ac:dyDescent="0.25">
      <c r="E2089" s="2"/>
      <c r="G2089" s="3"/>
      <c r="H2089" s="3"/>
      <c r="I2089" s="3"/>
      <c r="J2089" s="3"/>
      <c r="K2089" s="3"/>
      <c r="L2089" s="3"/>
      <c r="N2089" s="10"/>
      <c r="O2089" s="3"/>
      <c r="P2089" s="3"/>
      <c r="Q2089" s="3"/>
    </row>
    <row r="2090" spans="5:17" x14ac:dyDescent="0.25">
      <c r="E2090" s="2"/>
      <c r="G2090" s="3"/>
      <c r="H2090" s="3"/>
      <c r="I2090" s="3"/>
      <c r="J2090" s="3"/>
      <c r="K2090" s="3"/>
      <c r="L2090" s="3"/>
      <c r="N2090" s="10"/>
      <c r="O2090" s="3"/>
      <c r="P2090" s="3"/>
      <c r="Q2090" s="3"/>
    </row>
    <row r="2091" spans="5:17" x14ac:dyDescent="0.25">
      <c r="E2091" s="2"/>
      <c r="G2091" s="3"/>
      <c r="H2091" s="3"/>
      <c r="I2091" s="3"/>
      <c r="J2091" s="3"/>
      <c r="K2091" s="3"/>
      <c r="L2091" s="3"/>
      <c r="N2091" s="10"/>
      <c r="O2091" s="3"/>
      <c r="P2091" s="3"/>
      <c r="Q2091" s="3"/>
    </row>
    <row r="2092" spans="5:17" x14ac:dyDescent="0.25">
      <c r="E2092" s="2"/>
      <c r="G2092" s="3"/>
      <c r="H2092" s="3"/>
      <c r="I2092" s="3"/>
      <c r="J2092" s="3"/>
      <c r="K2092" s="3"/>
      <c r="L2092" s="3"/>
      <c r="N2092" s="10"/>
      <c r="O2092" s="3"/>
      <c r="P2092" s="3"/>
      <c r="Q2092" s="3"/>
    </row>
    <row r="2093" spans="5:17" x14ac:dyDescent="0.25">
      <c r="E2093" s="2"/>
      <c r="G2093" s="3"/>
      <c r="H2093" s="3"/>
      <c r="I2093" s="3"/>
      <c r="J2093" s="3"/>
      <c r="K2093" s="3"/>
      <c r="L2093" s="3"/>
      <c r="N2093" s="10"/>
      <c r="O2093" s="3"/>
      <c r="P2093" s="3"/>
      <c r="Q2093" s="3"/>
    </row>
    <row r="2094" spans="5:17" x14ac:dyDescent="0.25">
      <c r="E2094" s="2"/>
      <c r="G2094" s="3"/>
      <c r="H2094" s="3"/>
      <c r="I2094" s="3"/>
      <c r="J2094" s="3"/>
      <c r="K2094" s="3"/>
      <c r="L2094" s="3"/>
      <c r="N2094" s="10"/>
      <c r="O2094" s="3"/>
      <c r="P2094" s="3"/>
      <c r="Q2094" s="3"/>
    </row>
    <row r="2095" spans="5:17" x14ac:dyDescent="0.25">
      <c r="E2095" s="2"/>
      <c r="G2095" s="3"/>
      <c r="H2095" s="3"/>
      <c r="I2095" s="3"/>
      <c r="J2095" s="3"/>
      <c r="K2095" s="3"/>
      <c r="L2095" s="3"/>
      <c r="N2095" s="10"/>
      <c r="O2095" s="3"/>
      <c r="P2095" s="3"/>
      <c r="Q2095" s="3"/>
    </row>
    <row r="2096" spans="5:17" x14ac:dyDescent="0.25">
      <c r="E2096" s="2"/>
      <c r="G2096" s="3"/>
      <c r="H2096" s="3"/>
      <c r="I2096" s="3"/>
      <c r="J2096" s="3"/>
      <c r="K2096" s="3"/>
      <c r="L2096" s="3"/>
      <c r="N2096" s="10"/>
      <c r="O2096" s="3"/>
      <c r="P2096" s="3"/>
      <c r="Q2096" s="3"/>
    </row>
    <row r="2097" spans="5:17" x14ac:dyDescent="0.25">
      <c r="E2097" s="2"/>
      <c r="G2097" s="3"/>
      <c r="H2097" s="3"/>
      <c r="I2097" s="3"/>
      <c r="J2097" s="3"/>
      <c r="K2097" s="3"/>
      <c r="L2097" s="3"/>
      <c r="N2097" s="10"/>
      <c r="O2097" s="3"/>
      <c r="P2097" s="3"/>
      <c r="Q2097" s="3"/>
    </row>
    <row r="2098" spans="5:17" x14ac:dyDescent="0.25">
      <c r="E2098" s="2"/>
      <c r="G2098" s="3"/>
      <c r="H2098" s="3"/>
      <c r="I2098" s="3"/>
      <c r="J2098" s="3"/>
      <c r="K2098" s="3"/>
      <c r="L2098" s="3"/>
      <c r="N2098" s="10"/>
      <c r="O2098" s="3"/>
      <c r="P2098" s="3"/>
      <c r="Q2098" s="3"/>
    </row>
    <row r="2099" spans="5:17" x14ac:dyDescent="0.25">
      <c r="E2099" s="2"/>
      <c r="G2099" s="3"/>
      <c r="H2099" s="3"/>
      <c r="I2099" s="3"/>
      <c r="J2099" s="3"/>
      <c r="K2099" s="3"/>
      <c r="L2099" s="3"/>
      <c r="N2099" s="10"/>
      <c r="O2099" s="3"/>
      <c r="P2099" s="3"/>
      <c r="Q2099" s="3"/>
    </row>
    <row r="2100" spans="5:17" x14ac:dyDescent="0.25">
      <c r="E2100" s="2"/>
      <c r="G2100" s="3"/>
      <c r="H2100" s="3"/>
      <c r="I2100" s="3"/>
      <c r="J2100" s="3"/>
      <c r="K2100" s="3"/>
      <c r="L2100" s="3"/>
      <c r="N2100" s="10"/>
      <c r="O2100" s="3"/>
      <c r="P2100" s="3"/>
      <c r="Q2100" s="3"/>
    </row>
    <row r="2101" spans="5:17" x14ac:dyDescent="0.25">
      <c r="E2101" s="2"/>
      <c r="G2101" s="3"/>
      <c r="H2101" s="3"/>
      <c r="I2101" s="3"/>
      <c r="J2101" s="3"/>
      <c r="K2101" s="3"/>
      <c r="L2101" s="3"/>
      <c r="N2101" s="10"/>
      <c r="O2101" s="3"/>
      <c r="P2101" s="3"/>
      <c r="Q2101" s="3"/>
    </row>
    <row r="2102" spans="5:17" x14ac:dyDescent="0.25">
      <c r="E2102" s="2"/>
      <c r="G2102" s="3"/>
      <c r="H2102" s="3"/>
      <c r="I2102" s="3"/>
      <c r="J2102" s="3"/>
      <c r="K2102" s="3"/>
      <c r="L2102" s="3"/>
      <c r="N2102" s="10"/>
      <c r="O2102" s="3"/>
      <c r="P2102" s="3"/>
      <c r="Q2102" s="3"/>
    </row>
    <row r="2103" spans="5:17" x14ac:dyDescent="0.25">
      <c r="E2103" s="2"/>
      <c r="G2103" s="3"/>
      <c r="H2103" s="3"/>
      <c r="I2103" s="3"/>
      <c r="J2103" s="3"/>
      <c r="K2103" s="3"/>
      <c r="L2103" s="3"/>
      <c r="N2103" s="10"/>
      <c r="O2103" s="3"/>
      <c r="P2103" s="3"/>
      <c r="Q2103" s="3"/>
    </row>
    <row r="2104" spans="5:17" x14ac:dyDescent="0.25">
      <c r="E2104" s="2"/>
      <c r="G2104" s="3"/>
      <c r="H2104" s="3"/>
      <c r="I2104" s="3"/>
      <c r="J2104" s="3"/>
      <c r="K2104" s="3"/>
      <c r="L2104" s="3"/>
      <c r="N2104" s="10"/>
      <c r="O2104" s="3"/>
      <c r="P2104" s="3"/>
      <c r="Q2104" s="3"/>
    </row>
    <row r="2105" spans="5:17" x14ac:dyDescent="0.25">
      <c r="E2105" s="2"/>
      <c r="G2105" s="3"/>
      <c r="H2105" s="3"/>
      <c r="I2105" s="3"/>
      <c r="J2105" s="3"/>
      <c r="K2105" s="3"/>
      <c r="L2105" s="3"/>
      <c r="N2105" s="10"/>
      <c r="O2105" s="3"/>
      <c r="P2105" s="3"/>
      <c r="Q2105" s="3"/>
    </row>
    <row r="2106" spans="5:17" x14ac:dyDescent="0.25">
      <c r="E2106" s="2"/>
      <c r="G2106" s="3"/>
      <c r="H2106" s="3"/>
      <c r="I2106" s="3"/>
      <c r="J2106" s="3"/>
      <c r="K2106" s="3"/>
      <c r="L2106" s="3"/>
      <c r="N2106" s="10"/>
      <c r="O2106" s="3"/>
      <c r="P2106" s="3"/>
      <c r="Q2106" s="3"/>
    </row>
    <row r="2107" spans="5:17" x14ac:dyDescent="0.25">
      <c r="E2107" s="2"/>
      <c r="G2107" s="3"/>
      <c r="H2107" s="3"/>
      <c r="I2107" s="3"/>
      <c r="J2107" s="3"/>
      <c r="K2107" s="3"/>
      <c r="L2107" s="3"/>
      <c r="N2107" s="10"/>
      <c r="O2107" s="3"/>
      <c r="P2107" s="3"/>
      <c r="Q2107" s="3"/>
    </row>
    <row r="2108" spans="5:17" x14ac:dyDescent="0.25">
      <c r="E2108" s="2"/>
      <c r="G2108" s="3"/>
      <c r="H2108" s="3"/>
      <c r="I2108" s="3"/>
      <c r="J2108" s="3"/>
      <c r="K2108" s="3"/>
      <c r="L2108" s="3"/>
      <c r="N2108" s="10"/>
      <c r="O2108" s="3"/>
      <c r="P2108" s="3"/>
      <c r="Q2108" s="3"/>
    </row>
    <row r="2109" spans="5:17" x14ac:dyDescent="0.25">
      <c r="E2109" s="2"/>
      <c r="G2109" s="3"/>
      <c r="H2109" s="3"/>
      <c r="I2109" s="3"/>
      <c r="J2109" s="3"/>
      <c r="K2109" s="3"/>
      <c r="L2109" s="3"/>
      <c r="N2109" s="10"/>
      <c r="O2109" s="3"/>
      <c r="P2109" s="3"/>
      <c r="Q2109" s="3"/>
    </row>
    <row r="2110" spans="5:17" x14ac:dyDescent="0.25">
      <c r="E2110" s="2"/>
      <c r="G2110" s="3"/>
      <c r="H2110" s="3"/>
      <c r="I2110" s="3"/>
      <c r="J2110" s="3"/>
      <c r="K2110" s="3"/>
      <c r="L2110" s="3"/>
      <c r="N2110" s="10"/>
      <c r="O2110" s="3"/>
      <c r="P2110" s="3"/>
      <c r="Q2110" s="3"/>
    </row>
    <row r="2111" spans="5:17" x14ac:dyDescent="0.25">
      <c r="E2111" s="2"/>
      <c r="G2111" s="3"/>
      <c r="H2111" s="3"/>
      <c r="I2111" s="3"/>
      <c r="J2111" s="3"/>
      <c r="K2111" s="3"/>
      <c r="L2111" s="3"/>
      <c r="N2111" s="10"/>
      <c r="O2111" s="3"/>
      <c r="P2111" s="3"/>
      <c r="Q2111" s="3"/>
    </row>
    <row r="2112" spans="5:17" x14ac:dyDescent="0.25">
      <c r="E2112" s="2"/>
      <c r="G2112" s="3"/>
      <c r="H2112" s="3"/>
      <c r="I2112" s="3"/>
      <c r="J2112" s="3"/>
      <c r="K2112" s="3"/>
      <c r="L2112" s="3"/>
      <c r="N2112" s="10"/>
      <c r="O2112" s="3"/>
      <c r="P2112" s="3"/>
      <c r="Q2112" s="3"/>
    </row>
    <row r="2113" spans="5:17" x14ac:dyDescent="0.25">
      <c r="E2113" s="2"/>
      <c r="G2113" s="3"/>
      <c r="H2113" s="3"/>
      <c r="I2113" s="3"/>
      <c r="J2113" s="3"/>
      <c r="K2113" s="3"/>
      <c r="L2113" s="3"/>
      <c r="N2113" s="10"/>
      <c r="O2113" s="3"/>
      <c r="P2113" s="3"/>
      <c r="Q2113" s="3"/>
    </row>
    <row r="2114" spans="5:17" x14ac:dyDescent="0.25">
      <c r="E2114" s="2"/>
      <c r="G2114" s="3"/>
      <c r="H2114" s="3"/>
      <c r="I2114" s="3"/>
      <c r="J2114" s="3"/>
      <c r="K2114" s="3"/>
      <c r="L2114" s="3"/>
      <c r="N2114" s="10"/>
      <c r="O2114" s="3"/>
      <c r="P2114" s="3"/>
      <c r="Q2114" s="3"/>
    </row>
    <row r="2115" spans="5:17" x14ac:dyDescent="0.25">
      <c r="E2115" s="2"/>
      <c r="G2115" s="3"/>
      <c r="H2115" s="3"/>
      <c r="I2115" s="3"/>
      <c r="J2115" s="3"/>
      <c r="K2115" s="3"/>
      <c r="L2115" s="3"/>
      <c r="N2115" s="10"/>
      <c r="O2115" s="3"/>
      <c r="P2115" s="3"/>
      <c r="Q2115" s="3"/>
    </row>
    <row r="2116" spans="5:17" x14ac:dyDescent="0.25">
      <c r="E2116" s="2"/>
      <c r="G2116" s="3"/>
      <c r="H2116" s="3"/>
      <c r="I2116" s="3"/>
      <c r="J2116" s="3"/>
      <c r="K2116" s="3"/>
      <c r="L2116" s="3"/>
      <c r="N2116" s="10"/>
      <c r="O2116" s="3"/>
      <c r="P2116" s="3"/>
      <c r="Q2116" s="3"/>
    </row>
    <row r="2117" spans="5:17" x14ac:dyDescent="0.25">
      <c r="E2117" s="2"/>
      <c r="G2117" s="3"/>
      <c r="H2117" s="3"/>
      <c r="I2117" s="3"/>
      <c r="J2117" s="3"/>
      <c r="K2117" s="3"/>
      <c r="L2117" s="3"/>
      <c r="N2117" s="10"/>
      <c r="O2117" s="3"/>
      <c r="P2117" s="3"/>
      <c r="Q2117" s="3"/>
    </row>
    <row r="2118" spans="5:17" x14ac:dyDescent="0.25">
      <c r="E2118" s="2"/>
      <c r="G2118" s="3"/>
      <c r="H2118" s="3"/>
      <c r="I2118" s="3"/>
      <c r="J2118" s="3"/>
      <c r="K2118" s="3"/>
      <c r="L2118" s="3"/>
      <c r="N2118" s="10"/>
      <c r="O2118" s="3"/>
      <c r="P2118" s="3"/>
      <c r="Q2118" s="3"/>
    </row>
    <row r="2119" spans="5:17" x14ac:dyDescent="0.25">
      <c r="E2119" s="2"/>
      <c r="G2119" s="3"/>
      <c r="H2119" s="3"/>
      <c r="I2119" s="3"/>
      <c r="J2119" s="3"/>
      <c r="K2119" s="3"/>
      <c r="L2119" s="3"/>
      <c r="N2119" s="10"/>
      <c r="O2119" s="3"/>
      <c r="P2119" s="3"/>
      <c r="Q2119" s="3"/>
    </row>
    <row r="2120" spans="5:17" x14ac:dyDescent="0.25">
      <c r="E2120" s="2"/>
      <c r="G2120" s="3"/>
      <c r="H2120" s="3"/>
      <c r="I2120" s="3"/>
      <c r="J2120" s="3"/>
      <c r="K2120" s="3"/>
      <c r="L2120" s="3"/>
      <c r="N2120" s="10"/>
      <c r="O2120" s="3"/>
      <c r="P2120" s="3"/>
      <c r="Q2120" s="3"/>
    </row>
    <row r="2121" spans="5:17" x14ac:dyDescent="0.25">
      <c r="E2121" s="2"/>
      <c r="G2121" s="3"/>
      <c r="H2121" s="3"/>
      <c r="I2121" s="3"/>
      <c r="J2121" s="3"/>
      <c r="K2121" s="3"/>
      <c r="L2121" s="3"/>
      <c r="N2121" s="10"/>
      <c r="O2121" s="3"/>
      <c r="P2121" s="3"/>
      <c r="Q2121" s="3"/>
    </row>
    <row r="2122" spans="5:17" x14ac:dyDescent="0.25">
      <c r="E2122" s="2"/>
      <c r="G2122" s="3"/>
      <c r="H2122" s="3"/>
      <c r="I2122" s="3"/>
      <c r="J2122" s="3"/>
      <c r="K2122" s="3"/>
      <c r="L2122" s="3"/>
      <c r="N2122" s="10"/>
      <c r="O2122" s="3"/>
      <c r="P2122" s="3"/>
      <c r="Q2122" s="3"/>
    </row>
    <row r="2123" spans="5:17" x14ac:dyDescent="0.25">
      <c r="E2123" s="2"/>
      <c r="G2123" s="3"/>
      <c r="H2123" s="3"/>
      <c r="I2123" s="3"/>
      <c r="J2123" s="3"/>
      <c r="K2123" s="3"/>
      <c r="L2123" s="3"/>
      <c r="N2123" s="10"/>
      <c r="O2123" s="3"/>
      <c r="P2123" s="3"/>
      <c r="Q2123" s="3"/>
    </row>
    <row r="2124" spans="5:17" x14ac:dyDescent="0.25">
      <c r="E2124" s="2"/>
      <c r="G2124" s="3"/>
      <c r="H2124" s="3"/>
      <c r="I2124" s="3"/>
      <c r="J2124" s="3"/>
      <c r="K2124" s="3"/>
      <c r="L2124" s="3"/>
      <c r="N2124" s="10"/>
      <c r="O2124" s="3"/>
      <c r="P2124" s="3"/>
      <c r="Q2124" s="3"/>
    </row>
    <row r="2125" spans="5:17" x14ac:dyDescent="0.25">
      <c r="E2125" s="2"/>
      <c r="G2125" s="3"/>
      <c r="H2125" s="3"/>
      <c r="I2125" s="3"/>
      <c r="J2125" s="3"/>
      <c r="K2125" s="3"/>
      <c r="L2125" s="3"/>
      <c r="N2125" s="10"/>
      <c r="O2125" s="3"/>
      <c r="P2125" s="3"/>
      <c r="Q2125" s="3"/>
    </row>
    <row r="2126" spans="5:17" x14ac:dyDescent="0.25">
      <c r="E2126" s="2"/>
      <c r="G2126" s="3"/>
      <c r="H2126" s="3"/>
      <c r="I2126" s="3"/>
      <c r="J2126" s="3"/>
      <c r="K2126" s="3"/>
      <c r="L2126" s="3"/>
      <c r="N2126" s="10"/>
      <c r="O2126" s="3"/>
      <c r="P2126" s="3"/>
      <c r="Q2126" s="3"/>
    </row>
    <row r="2127" spans="5:17" x14ac:dyDescent="0.25">
      <c r="E2127" s="2"/>
      <c r="G2127" s="3"/>
      <c r="H2127" s="3"/>
      <c r="I2127" s="3"/>
      <c r="J2127" s="3"/>
      <c r="K2127" s="3"/>
      <c r="L2127" s="3"/>
      <c r="N2127" s="10"/>
      <c r="O2127" s="3"/>
      <c r="P2127" s="3"/>
      <c r="Q2127" s="3"/>
    </row>
    <row r="2128" spans="5:17" x14ac:dyDescent="0.25">
      <c r="E2128" s="2"/>
      <c r="G2128" s="3"/>
      <c r="H2128" s="3"/>
      <c r="I2128" s="3"/>
      <c r="J2128" s="3"/>
      <c r="K2128" s="3"/>
      <c r="L2128" s="3"/>
      <c r="N2128" s="10"/>
      <c r="O2128" s="3"/>
      <c r="P2128" s="3"/>
      <c r="Q2128" s="3"/>
    </row>
    <row r="2129" spans="5:17" x14ac:dyDescent="0.25">
      <c r="E2129" s="2"/>
      <c r="G2129" s="3"/>
      <c r="H2129" s="3"/>
      <c r="I2129" s="3"/>
      <c r="J2129" s="3"/>
      <c r="K2129" s="3"/>
      <c r="L2129" s="3"/>
      <c r="N2129" s="10"/>
      <c r="O2129" s="3"/>
      <c r="P2129" s="3"/>
      <c r="Q2129" s="3"/>
    </row>
    <row r="2130" spans="5:17" x14ac:dyDescent="0.25">
      <c r="E2130" s="2"/>
      <c r="G2130" s="3"/>
      <c r="H2130" s="3"/>
      <c r="I2130" s="3"/>
      <c r="J2130" s="3"/>
      <c r="K2130" s="3"/>
      <c r="L2130" s="3"/>
      <c r="N2130" s="10"/>
      <c r="O2130" s="3"/>
      <c r="P2130" s="3"/>
      <c r="Q2130" s="3"/>
    </row>
    <row r="2131" spans="5:17" x14ac:dyDescent="0.25">
      <c r="E2131" s="2"/>
      <c r="G2131" s="3"/>
      <c r="H2131" s="3"/>
      <c r="I2131" s="3"/>
      <c r="J2131" s="3"/>
      <c r="K2131" s="3"/>
      <c r="L2131" s="3"/>
      <c r="N2131" s="10"/>
      <c r="O2131" s="3"/>
      <c r="P2131" s="3"/>
      <c r="Q2131" s="3"/>
    </row>
    <row r="2132" spans="5:17" x14ac:dyDescent="0.25">
      <c r="E2132" s="2"/>
      <c r="G2132" s="3"/>
      <c r="H2132" s="3"/>
      <c r="I2132" s="3"/>
      <c r="J2132" s="3"/>
      <c r="K2132" s="3"/>
      <c r="L2132" s="3"/>
      <c r="N2132" s="10"/>
      <c r="O2132" s="3"/>
      <c r="P2132" s="3"/>
      <c r="Q2132" s="3"/>
    </row>
    <row r="2133" spans="5:17" x14ac:dyDescent="0.25">
      <c r="E2133" s="2"/>
      <c r="G2133" s="3"/>
      <c r="H2133" s="3"/>
      <c r="I2133" s="3"/>
      <c r="J2133" s="3"/>
      <c r="K2133" s="3"/>
      <c r="L2133" s="3"/>
      <c r="N2133" s="10"/>
      <c r="O2133" s="3"/>
      <c r="P2133" s="3"/>
      <c r="Q2133" s="3"/>
    </row>
    <row r="2134" spans="5:17" x14ac:dyDescent="0.25">
      <c r="E2134" s="2"/>
      <c r="G2134" s="3"/>
      <c r="H2134" s="3"/>
      <c r="I2134" s="3"/>
      <c r="J2134" s="3"/>
      <c r="K2134" s="3"/>
      <c r="L2134" s="3"/>
      <c r="N2134" s="10"/>
      <c r="O2134" s="3"/>
      <c r="P2134" s="3"/>
      <c r="Q2134" s="3"/>
    </row>
    <row r="2135" spans="5:17" x14ac:dyDescent="0.25">
      <c r="E2135" s="2"/>
      <c r="G2135" s="3"/>
      <c r="H2135" s="3"/>
      <c r="I2135" s="3"/>
      <c r="J2135" s="3"/>
      <c r="K2135" s="3"/>
      <c r="L2135" s="3"/>
      <c r="N2135" s="10"/>
      <c r="O2135" s="3"/>
      <c r="P2135" s="3"/>
      <c r="Q2135" s="3"/>
    </row>
    <row r="2136" spans="5:17" x14ac:dyDescent="0.25">
      <c r="E2136" s="2"/>
      <c r="G2136" s="3"/>
      <c r="H2136" s="3"/>
      <c r="I2136" s="3"/>
      <c r="J2136" s="3"/>
      <c r="K2136" s="3"/>
      <c r="L2136" s="3"/>
      <c r="N2136" s="10"/>
      <c r="O2136" s="3"/>
      <c r="P2136" s="3"/>
      <c r="Q2136" s="3"/>
    </row>
    <row r="2137" spans="5:17" x14ac:dyDescent="0.25">
      <c r="E2137" s="2"/>
      <c r="G2137" s="3"/>
      <c r="H2137" s="3"/>
      <c r="I2137" s="3"/>
      <c r="J2137" s="3"/>
      <c r="K2137" s="3"/>
      <c r="L2137" s="3"/>
      <c r="N2137" s="10"/>
      <c r="O2137" s="3"/>
      <c r="P2137" s="3"/>
      <c r="Q2137" s="3"/>
    </row>
    <row r="2138" spans="5:17" x14ac:dyDescent="0.25">
      <c r="E2138" s="2"/>
      <c r="G2138" s="3"/>
      <c r="H2138" s="3"/>
      <c r="I2138" s="3"/>
      <c r="J2138" s="3"/>
      <c r="K2138" s="3"/>
      <c r="L2138" s="3"/>
      <c r="N2138" s="10"/>
      <c r="O2138" s="3"/>
      <c r="P2138" s="3"/>
      <c r="Q2138" s="3"/>
    </row>
    <row r="2139" spans="5:17" x14ac:dyDescent="0.25">
      <c r="E2139" s="2"/>
      <c r="G2139" s="3"/>
      <c r="H2139" s="3"/>
      <c r="I2139" s="3"/>
      <c r="J2139" s="3"/>
      <c r="K2139" s="3"/>
      <c r="L2139" s="3"/>
      <c r="N2139" s="10"/>
      <c r="O2139" s="3"/>
      <c r="P2139" s="3"/>
      <c r="Q2139" s="3"/>
    </row>
    <row r="2140" spans="5:17" x14ac:dyDescent="0.25">
      <c r="E2140" s="2"/>
      <c r="G2140" s="3"/>
      <c r="H2140" s="3"/>
      <c r="I2140" s="3"/>
      <c r="J2140" s="3"/>
      <c r="K2140" s="3"/>
      <c r="L2140" s="3"/>
      <c r="N2140" s="10"/>
      <c r="O2140" s="3"/>
      <c r="P2140" s="3"/>
      <c r="Q2140" s="3"/>
    </row>
    <row r="2141" spans="5:17" x14ac:dyDescent="0.25">
      <c r="E2141" s="2"/>
      <c r="G2141" s="3"/>
      <c r="H2141" s="3"/>
      <c r="I2141" s="3"/>
      <c r="J2141" s="3"/>
      <c r="K2141" s="3"/>
      <c r="L2141" s="3"/>
      <c r="N2141" s="10"/>
      <c r="O2141" s="3"/>
      <c r="P2141" s="3"/>
      <c r="Q2141" s="3"/>
    </row>
    <row r="2142" spans="5:17" x14ac:dyDescent="0.25">
      <c r="E2142" s="2"/>
      <c r="G2142" s="3"/>
      <c r="H2142" s="3"/>
      <c r="I2142" s="3"/>
      <c r="J2142" s="3"/>
      <c r="K2142" s="3"/>
      <c r="L2142" s="3"/>
      <c r="N2142" s="10"/>
      <c r="O2142" s="3"/>
      <c r="P2142" s="3"/>
      <c r="Q2142" s="3"/>
    </row>
    <row r="2143" spans="5:17" x14ac:dyDescent="0.25">
      <c r="E2143" s="2"/>
      <c r="G2143" s="3"/>
      <c r="H2143" s="3"/>
      <c r="I2143" s="3"/>
      <c r="J2143" s="3"/>
      <c r="K2143" s="3"/>
      <c r="L2143" s="3"/>
      <c r="N2143" s="10"/>
      <c r="O2143" s="3"/>
      <c r="P2143" s="3"/>
      <c r="Q2143" s="3"/>
    </row>
    <row r="2144" spans="5:17" x14ac:dyDescent="0.25">
      <c r="E2144" s="2"/>
      <c r="G2144" s="3"/>
      <c r="H2144" s="3"/>
      <c r="I2144" s="3"/>
      <c r="J2144" s="3"/>
      <c r="K2144" s="3"/>
      <c r="L2144" s="3"/>
      <c r="N2144" s="10"/>
      <c r="O2144" s="3"/>
      <c r="P2144" s="3"/>
      <c r="Q2144" s="3"/>
    </row>
    <row r="2145" spans="5:17" x14ac:dyDescent="0.25">
      <c r="E2145" s="2"/>
      <c r="G2145" s="3"/>
      <c r="H2145" s="3"/>
      <c r="I2145" s="3"/>
      <c r="J2145" s="3"/>
      <c r="K2145" s="3"/>
      <c r="L2145" s="3"/>
      <c r="N2145" s="10"/>
      <c r="O2145" s="3"/>
      <c r="P2145" s="3"/>
      <c r="Q2145" s="3"/>
    </row>
    <row r="2146" spans="5:17" x14ac:dyDescent="0.25">
      <c r="E2146" s="2"/>
      <c r="G2146" s="3"/>
      <c r="H2146" s="3"/>
      <c r="I2146" s="3"/>
      <c r="J2146" s="3"/>
      <c r="K2146" s="3"/>
      <c r="L2146" s="3"/>
      <c r="N2146" s="10"/>
      <c r="O2146" s="3"/>
      <c r="P2146" s="3"/>
      <c r="Q2146" s="3"/>
    </row>
    <row r="2147" spans="5:17" x14ac:dyDescent="0.25">
      <c r="E2147" s="2"/>
      <c r="G2147" s="3"/>
      <c r="H2147" s="3"/>
      <c r="I2147" s="3"/>
      <c r="J2147" s="3"/>
      <c r="K2147" s="3"/>
      <c r="L2147" s="3"/>
      <c r="N2147" s="10"/>
      <c r="O2147" s="3"/>
      <c r="P2147" s="3"/>
      <c r="Q2147" s="3"/>
    </row>
    <row r="2148" spans="5:17" x14ac:dyDescent="0.25">
      <c r="E2148" s="2"/>
      <c r="G2148" s="3"/>
      <c r="H2148" s="3"/>
      <c r="I2148" s="3"/>
      <c r="J2148" s="3"/>
      <c r="K2148" s="3"/>
      <c r="L2148" s="3"/>
      <c r="N2148" s="10"/>
      <c r="O2148" s="3"/>
      <c r="P2148" s="3"/>
      <c r="Q2148" s="3"/>
    </row>
    <row r="2149" spans="5:17" x14ac:dyDescent="0.25">
      <c r="E2149" s="2"/>
      <c r="G2149" s="3"/>
      <c r="H2149" s="3"/>
      <c r="I2149" s="3"/>
      <c r="J2149" s="3"/>
      <c r="K2149" s="3"/>
      <c r="L2149" s="3"/>
      <c r="N2149" s="10"/>
      <c r="O2149" s="3"/>
      <c r="P2149" s="3"/>
      <c r="Q2149" s="3"/>
    </row>
    <row r="2150" spans="5:17" x14ac:dyDescent="0.25">
      <c r="E2150" s="2"/>
      <c r="G2150" s="3"/>
      <c r="H2150" s="3"/>
      <c r="I2150" s="3"/>
      <c r="J2150" s="3"/>
      <c r="K2150" s="3"/>
      <c r="L2150" s="3"/>
      <c r="N2150" s="10"/>
      <c r="O2150" s="3"/>
      <c r="P2150" s="3"/>
      <c r="Q2150" s="3"/>
    </row>
    <row r="2151" spans="5:17" x14ac:dyDescent="0.25">
      <c r="E2151" s="2"/>
      <c r="G2151" s="3"/>
      <c r="H2151" s="3"/>
      <c r="I2151" s="3"/>
      <c r="J2151" s="3"/>
      <c r="K2151" s="3"/>
      <c r="L2151" s="3"/>
      <c r="N2151" s="10"/>
      <c r="O2151" s="3"/>
      <c r="P2151" s="3"/>
      <c r="Q2151" s="3"/>
    </row>
    <row r="2152" spans="5:17" x14ac:dyDescent="0.25">
      <c r="E2152" s="2"/>
      <c r="G2152" s="3"/>
      <c r="H2152" s="3"/>
      <c r="I2152" s="3"/>
      <c r="J2152" s="3"/>
      <c r="K2152" s="3"/>
      <c r="L2152" s="3"/>
      <c r="N2152" s="10"/>
      <c r="O2152" s="3"/>
      <c r="P2152" s="3"/>
      <c r="Q2152" s="3"/>
    </row>
    <row r="2153" spans="5:17" x14ac:dyDescent="0.25">
      <c r="E2153" s="2"/>
      <c r="G2153" s="3"/>
      <c r="H2153" s="3"/>
      <c r="I2153" s="3"/>
      <c r="J2153" s="3"/>
      <c r="K2153" s="3"/>
      <c r="L2153" s="3"/>
      <c r="N2153" s="10"/>
      <c r="O2153" s="3"/>
      <c r="P2153" s="3"/>
      <c r="Q2153" s="3"/>
    </row>
    <row r="2154" spans="5:17" x14ac:dyDescent="0.25">
      <c r="E2154" s="2"/>
      <c r="G2154" s="3"/>
      <c r="H2154" s="3"/>
      <c r="I2154" s="3"/>
      <c r="J2154" s="3"/>
      <c r="K2154" s="3"/>
      <c r="L2154" s="3"/>
      <c r="N2154" s="10"/>
      <c r="O2154" s="3"/>
      <c r="P2154" s="3"/>
      <c r="Q2154" s="3"/>
    </row>
    <row r="2155" spans="5:17" x14ac:dyDescent="0.25">
      <c r="E2155" s="2"/>
      <c r="G2155" s="3"/>
      <c r="H2155" s="3"/>
      <c r="I2155" s="3"/>
      <c r="J2155" s="3"/>
      <c r="K2155" s="3"/>
      <c r="L2155" s="3"/>
      <c r="N2155" s="10"/>
      <c r="O2155" s="3"/>
      <c r="P2155" s="3"/>
      <c r="Q2155" s="3"/>
    </row>
    <row r="2156" spans="5:17" x14ac:dyDescent="0.25">
      <c r="E2156" s="2"/>
      <c r="G2156" s="3"/>
      <c r="H2156" s="3"/>
      <c r="I2156" s="3"/>
      <c r="J2156" s="3"/>
      <c r="K2156" s="3"/>
      <c r="L2156" s="3"/>
      <c r="N2156" s="10"/>
      <c r="O2156" s="3"/>
      <c r="P2156" s="3"/>
      <c r="Q2156" s="3"/>
    </row>
    <row r="2157" spans="5:17" x14ac:dyDescent="0.25">
      <c r="E2157" s="2"/>
      <c r="G2157" s="3"/>
      <c r="H2157" s="3"/>
      <c r="I2157" s="3"/>
      <c r="J2157" s="3"/>
      <c r="K2157" s="3"/>
      <c r="L2157" s="3"/>
      <c r="N2157" s="10"/>
      <c r="O2157" s="3"/>
      <c r="P2157" s="3"/>
      <c r="Q2157" s="3"/>
    </row>
    <row r="2158" spans="5:17" x14ac:dyDescent="0.25">
      <c r="E2158" s="2"/>
      <c r="G2158" s="3"/>
      <c r="H2158" s="3"/>
      <c r="I2158" s="3"/>
      <c r="J2158" s="3"/>
      <c r="K2158" s="3"/>
      <c r="L2158" s="3"/>
      <c r="N2158" s="10"/>
      <c r="O2158" s="3"/>
      <c r="P2158" s="3"/>
      <c r="Q2158" s="3"/>
    </row>
    <row r="2159" spans="5:17" x14ac:dyDescent="0.25">
      <c r="E2159" s="2"/>
      <c r="G2159" s="3"/>
      <c r="H2159" s="3"/>
      <c r="I2159" s="3"/>
      <c r="J2159" s="3"/>
      <c r="K2159" s="3"/>
      <c r="L2159" s="3"/>
      <c r="N2159" s="10"/>
      <c r="O2159" s="3"/>
      <c r="P2159" s="3"/>
      <c r="Q2159" s="3"/>
    </row>
    <row r="2160" spans="5:17" x14ac:dyDescent="0.25">
      <c r="E2160" s="2"/>
      <c r="G2160" s="3"/>
      <c r="H2160" s="3"/>
      <c r="I2160" s="3"/>
      <c r="J2160" s="3"/>
      <c r="K2160" s="3"/>
      <c r="L2160" s="3"/>
      <c r="N2160" s="10"/>
      <c r="O2160" s="3"/>
      <c r="P2160" s="3"/>
      <c r="Q2160" s="3"/>
    </row>
    <row r="2161" spans="5:17" x14ac:dyDescent="0.25">
      <c r="E2161" s="2"/>
      <c r="G2161" s="3"/>
      <c r="H2161" s="3"/>
      <c r="I2161" s="3"/>
      <c r="J2161" s="3"/>
      <c r="K2161" s="3"/>
      <c r="L2161" s="3"/>
      <c r="N2161" s="10"/>
      <c r="O2161" s="3"/>
      <c r="P2161" s="3"/>
      <c r="Q2161" s="3"/>
    </row>
    <row r="2162" spans="5:17" x14ac:dyDescent="0.25">
      <c r="E2162" s="2"/>
      <c r="G2162" s="3"/>
      <c r="H2162" s="3"/>
      <c r="I2162" s="3"/>
      <c r="J2162" s="3"/>
      <c r="K2162" s="3"/>
      <c r="L2162" s="3"/>
      <c r="N2162" s="10"/>
      <c r="O2162" s="3"/>
      <c r="P2162" s="3"/>
      <c r="Q2162" s="3"/>
    </row>
    <row r="2163" spans="5:17" x14ac:dyDescent="0.25">
      <c r="E2163" s="2"/>
      <c r="G2163" s="3"/>
      <c r="H2163" s="3"/>
      <c r="I2163" s="3"/>
      <c r="J2163" s="3"/>
      <c r="K2163" s="3"/>
      <c r="L2163" s="3"/>
      <c r="N2163" s="10"/>
      <c r="O2163" s="3"/>
      <c r="P2163" s="3"/>
      <c r="Q2163" s="3"/>
    </row>
    <row r="2164" spans="5:17" x14ac:dyDescent="0.25">
      <c r="E2164" s="2"/>
      <c r="G2164" s="3"/>
      <c r="H2164" s="3"/>
      <c r="I2164" s="3"/>
      <c r="J2164" s="3"/>
      <c r="K2164" s="3"/>
      <c r="L2164" s="3"/>
      <c r="N2164" s="10"/>
      <c r="O2164" s="3"/>
      <c r="P2164" s="3"/>
      <c r="Q2164" s="3"/>
    </row>
    <row r="2165" spans="5:17" x14ac:dyDescent="0.25">
      <c r="E2165" s="2"/>
      <c r="G2165" s="3"/>
      <c r="H2165" s="3"/>
      <c r="I2165" s="3"/>
      <c r="J2165" s="3"/>
      <c r="K2165" s="3"/>
      <c r="L2165" s="3"/>
      <c r="N2165" s="10"/>
      <c r="O2165" s="3"/>
      <c r="P2165" s="3"/>
      <c r="Q2165" s="3"/>
    </row>
    <row r="2166" spans="5:17" x14ac:dyDescent="0.25">
      <c r="E2166" s="2"/>
      <c r="G2166" s="3"/>
      <c r="H2166" s="3"/>
      <c r="I2166" s="3"/>
      <c r="J2166" s="3"/>
      <c r="K2166" s="3"/>
      <c r="L2166" s="3"/>
      <c r="N2166" s="10"/>
      <c r="O2166" s="3"/>
      <c r="P2166" s="3"/>
      <c r="Q2166" s="3"/>
    </row>
    <row r="2167" spans="5:17" x14ac:dyDescent="0.25">
      <c r="E2167" s="2"/>
      <c r="G2167" s="3"/>
      <c r="H2167" s="3"/>
      <c r="I2167" s="3"/>
      <c r="J2167" s="3"/>
      <c r="K2167" s="3"/>
      <c r="L2167" s="3"/>
      <c r="N2167" s="10"/>
      <c r="O2167" s="3"/>
      <c r="P2167" s="3"/>
      <c r="Q2167" s="3"/>
    </row>
    <row r="2168" spans="5:17" x14ac:dyDescent="0.25">
      <c r="E2168" s="2"/>
      <c r="G2168" s="3"/>
      <c r="H2168" s="3"/>
      <c r="I2168" s="3"/>
      <c r="J2168" s="3"/>
      <c r="K2168" s="3"/>
      <c r="L2168" s="3"/>
      <c r="N2168" s="10"/>
      <c r="O2168" s="3"/>
      <c r="P2168" s="3"/>
      <c r="Q2168" s="3"/>
    </row>
    <row r="2169" spans="5:17" x14ac:dyDescent="0.25">
      <c r="E2169" s="2"/>
      <c r="G2169" s="3"/>
      <c r="H2169" s="3"/>
      <c r="I2169" s="3"/>
      <c r="J2169" s="3"/>
      <c r="K2169" s="3"/>
      <c r="L2169" s="3"/>
      <c r="N2169" s="10"/>
      <c r="O2169" s="3"/>
      <c r="P2169" s="3"/>
      <c r="Q2169" s="3"/>
    </row>
    <row r="2170" spans="5:17" x14ac:dyDescent="0.25">
      <c r="E2170" s="2"/>
      <c r="G2170" s="3"/>
      <c r="H2170" s="3"/>
      <c r="I2170" s="3"/>
      <c r="J2170" s="3"/>
      <c r="K2170" s="3"/>
      <c r="L2170" s="3"/>
      <c r="N2170" s="10"/>
      <c r="O2170" s="3"/>
      <c r="P2170" s="3"/>
      <c r="Q2170" s="3"/>
    </row>
    <row r="2171" spans="5:17" x14ac:dyDescent="0.25">
      <c r="E2171" s="2"/>
      <c r="G2171" s="3"/>
      <c r="H2171" s="3"/>
      <c r="I2171" s="3"/>
      <c r="J2171" s="3"/>
      <c r="K2171" s="3"/>
      <c r="L2171" s="3"/>
      <c r="N2171" s="10"/>
      <c r="O2171" s="3"/>
      <c r="P2171" s="3"/>
      <c r="Q2171" s="3"/>
    </row>
    <row r="2172" spans="5:17" x14ac:dyDescent="0.25">
      <c r="E2172" s="2"/>
      <c r="G2172" s="3"/>
      <c r="H2172" s="3"/>
      <c r="I2172" s="3"/>
      <c r="J2172" s="3"/>
      <c r="K2172" s="3"/>
      <c r="L2172" s="3"/>
      <c r="N2172" s="10"/>
      <c r="O2172" s="3"/>
      <c r="P2172" s="3"/>
      <c r="Q2172" s="3"/>
    </row>
    <row r="2173" spans="5:17" x14ac:dyDescent="0.25">
      <c r="E2173" s="2"/>
      <c r="G2173" s="3"/>
      <c r="H2173" s="3"/>
      <c r="I2173" s="3"/>
      <c r="J2173" s="3"/>
      <c r="K2173" s="3"/>
      <c r="L2173" s="3"/>
      <c r="N2173" s="10"/>
      <c r="O2173" s="3"/>
      <c r="P2173" s="3"/>
      <c r="Q2173" s="3"/>
    </row>
    <row r="2174" spans="5:17" x14ac:dyDescent="0.25">
      <c r="E2174" s="2"/>
      <c r="G2174" s="3"/>
      <c r="H2174" s="3"/>
      <c r="I2174" s="3"/>
      <c r="J2174" s="3"/>
      <c r="K2174" s="3"/>
      <c r="L2174" s="3"/>
      <c r="N2174" s="10"/>
      <c r="O2174" s="3"/>
      <c r="P2174" s="3"/>
      <c r="Q2174" s="3"/>
    </row>
    <row r="2175" spans="5:17" x14ac:dyDescent="0.25">
      <c r="E2175" s="2"/>
      <c r="G2175" s="3"/>
      <c r="H2175" s="3"/>
      <c r="I2175" s="3"/>
      <c r="J2175" s="3"/>
      <c r="K2175" s="3"/>
      <c r="L2175" s="3"/>
      <c r="N2175" s="10"/>
      <c r="O2175" s="3"/>
      <c r="P2175" s="3"/>
      <c r="Q2175" s="3"/>
    </row>
    <row r="2176" spans="5:17" x14ac:dyDescent="0.25">
      <c r="E2176" s="2"/>
      <c r="G2176" s="3"/>
      <c r="H2176" s="3"/>
      <c r="I2176" s="3"/>
      <c r="J2176" s="3"/>
      <c r="K2176" s="3"/>
      <c r="L2176" s="3"/>
      <c r="N2176" s="10"/>
      <c r="O2176" s="3"/>
      <c r="P2176" s="3"/>
      <c r="Q2176" s="3"/>
    </row>
    <row r="2177" spans="5:17" x14ac:dyDescent="0.25">
      <c r="E2177" s="2"/>
      <c r="G2177" s="3"/>
      <c r="H2177" s="3"/>
      <c r="I2177" s="3"/>
      <c r="J2177" s="3"/>
      <c r="K2177" s="3"/>
      <c r="L2177" s="3"/>
      <c r="N2177" s="10"/>
      <c r="O2177" s="3"/>
      <c r="P2177" s="3"/>
      <c r="Q2177" s="3"/>
    </row>
    <row r="2178" spans="5:17" x14ac:dyDescent="0.25">
      <c r="E2178" s="2"/>
      <c r="G2178" s="3"/>
      <c r="H2178" s="3"/>
      <c r="I2178" s="3"/>
      <c r="J2178" s="3"/>
      <c r="K2178" s="3"/>
      <c r="L2178" s="3"/>
      <c r="N2178" s="10"/>
      <c r="O2178" s="3"/>
      <c r="P2178" s="3"/>
      <c r="Q2178" s="3"/>
    </row>
    <row r="2179" spans="5:17" x14ac:dyDescent="0.25">
      <c r="E2179" s="2"/>
      <c r="G2179" s="3"/>
      <c r="H2179" s="3"/>
      <c r="I2179" s="3"/>
      <c r="J2179" s="3"/>
      <c r="K2179" s="3"/>
      <c r="L2179" s="3"/>
      <c r="N2179" s="10"/>
      <c r="O2179" s="3"/>
      <c r="P2179" s="3"/>
      <c r="Q2179" s="3"/>
    </row>
    <row r="2180" spans="5:17" x14ac:dyDescent="0.25">
      <c r="E2180" s="2"/>
      <c r="G2180" s="3"/>
      <c r="H2180" s="3"/>
      <c r="I2180" s="3"/>
      <c r="J2180" s="3"/>
      <c r="K2180" s="3"/>
      <c r="L2180" s="3"/>
      <c r="N2180" s="10"/>
      <c r="O2180" s="3"/>
      <c r="P2180" s="3"/>
      <c r="Q2180" s="3"/>
    </row>
    <row r="2181" spans="5:17" x14ac:dyDescent="0.25">
      <c r="E2181" s="2"/>
      <c r="G2181" s="3"/>
      <c r="H2181" s="3"/>
      <c r="I2181" s="3"/>
      <c r="J2181" s="3"/>
      <c r="K2181" s="3"/>
      <c r="L2181" s="3"/>
      <c r="N2181" s="10"/>
      <c r="O2181" s="3"/>
      <c r="P2181" s="3"/>
      <c r="Q2181" s="3"/>
    </row>
    <row r="2182" spans="5:17" x14ac:dyDescent="0.25">
      <c r="E2182" s="2"/>
      <c r="G2182" s="3"/>
      <c r="H2182" s="3"/>
      <c r="I2182" s="3"/>
      <c r="J2182" s="3"/>
      <c r="K2182" s="3"/>
      <c r="L2182" s="3"/>
      <c r="N2182" s="10"/>
      <c r="O2182" s="3"/>
      <c r="P2182" s="3"/>
      <c r="Q2182" s="3"/>
    </row>
    <row r="2183" spans="5:17" x14ac:dyDescent="0.25">
      <c r="E2183" s="2"/>
      <c r="G2183" s="3"/>
      <c r="H2183" s="3"/>
      <c r="I2183" s="3"/>
      <c r="J2183" s="3"/>
      <c r="K2183" s="3"/>
      <c r="L2183" s="3"/>
      <c r="N2183" s="10"/>
      <c r="O2183" s="3"/>
      <c r="P2183" s="3"/>
      <c r="Q2183" s="3"/>
    </row>
    <row r="2184" spans="5:17" x14ac:dyDescent="0.25">
      <c r="E2184" s="2"/>
      <c r="G2184" s="3"/>
      <c r="H2184" s="3"/>
      <c r="I2184" s="3"/>
      <c r="J2184" s="3"/>
      <c r="K2184" s="3"/>
      <c r="L2184" s="3"/>
      <c r="N2184" s="10"/>
      <c r="O2184" s="3"/>
      <c r="P2184" s="3"/>
      <c r="Q2184" s="3"/>
    </row>
    <row r="2185" spans="5:17" x14ac:dyDescent="0.25">
      <c r="E2185" s="2"/>
      <c r="G2185" s="3"/>
      <c r="H2185" s="3"/>
      <c r="I2185" s="3"/>
      <c r="J2185" s="3"/>
      <c r="K2185" s="3"/>
      <c r="L2185" s="3"/>
      <c r="N2185" s="10"/>
      <c r="O2185" s="3"/>
      <c r="P2185" s="3"/>
      <c r="Q2185" s="3"/>
    </row>
    <row r="2186" spans="5:17" x14ac:dyDescent="0.25">
      <c r="E2186" s="2"/>
      <c r="G2186" s="3"/>
      <c r="H2186" s="3"/>
      <c r="I2186" s="3"/>
      <c r="J2186" s="3"/>
      <c r="K2186" s="3"/>
      <c r="L2186" s="3"/>
      <c r="N2186" s="10"/>
      <c r="O2186" s="3"/>
      <c r="P2186" s="3"/>
      <c r="Q2186" s="3"/>
    </row>
    <row r="2187" spans="5:17" x14ac:dyDescent="0.25">
      <c r="E2187" s="2"/>
      <c r="G2187" s="3"/>
      <c r="H2187" s="3"/>
      <c r="I2187" s="3"/>
      <c r="J2187" s="3"/>
      <c r="K2187" s="3"/>
      <c r="L2187" s="3"/>
      <c r="N2187" s="10"/>
      <c r="O2187" s="3"/>
      <c r="P2187" s="3"/>
      <c r="Q2187" s="3"/>
    </row>
    <row r="2188" spans="5:17" x14ac:dyDescent="0.25">
      <c r="E2188" s="2"/>
      <c r="G2188" s="3"/>
      <c r="H2188" s="3"/>
      <c r="I2188" s="3"/>
      <c r="J2188" s="3"/>
      <c r="K2188" s="3"/>
      <c r="L2188" s="3"/>
      <c r="N2188" s="10"/>
      <c r="O2188" s="3"/>
      <c r="P2188" s="3"/>
      <c r="Q2188" s="3"/>
    </row>
    <row r="2189" spans="5:17" x14ac:dyDescent="0.25">
      <c r="E2189" s="2"/>
      <c r="G2189" s="3"/>
      <c r="H2189" s="3"/>
      <c r="I2189" s="3"/>
      <c r="J2189" s="3"/>
      <c r="K2189" s="3"/>
      <c r="L2189" s="3"/>
      <c r="N2189" s="10"/>
      <c r="O2189" s="3"/>
      <c r="P2189" s="3"/>
      <c r="Q2189" s="3"/>
    </row>
    <row r="2190" spans="5:17" x14ac:dyDescent="0.25">
      <c r="E2190" s="2"/>
      <c r="G2190" s="3"/>
      <c r="H2190" s="3"/>
      <c r="I2190" s="3"/>
      <c r="J2190" s="3"/>
      <c r="K2190" s="3"/>
      <c r="L2190" s="3"/>
      <c r="N2190" s="10"/>
      <c r="O2190" s="3"/>
      <c r="P2190" s="3"/>
      <c r="Q2190" s="3"/>
    </row>
    <row r="2191" spans="5:17" x14ac:dyDescent="0.25">
      <c r="E2191" s="2"/>
      <c r="G2191" s="3"/>
      <c r="H2191" s="3"/>
      <c r="I2191" s="3"/>
      <c r="J2191" s="3"/>
      <c r="K2191" s="3"/>
      <c r="L2191" s="3"/>
      <c r="N2191" s="10"/>
      <c r="O2191" s="3"/>
      <c r="P2191" s="3"/>
      <c r="Q2191" s="3"/>
    </row>
    <row r="2192" spans="5:17" x14ac:dyDescent="0.25">
      <c r="E2192" s="2"/>
      <c r="G2192" s="3"/>
      <c r="H2192" s="3"/>
      <c r="I2192" s="3"/>
      <c r="J2192" s="3"/>
      <c r="K2192" s="3"/>
      <c r="L2192" s="3"/>
      <c r="N2192" s="10"/>
      <c r="O2192" s="3"/>
      <c r="P2192" s="3"/>
      <c r="Q2192" s="3"/>
    </row>
    <row r="2193" spans="5:17" x14ac:dyDescent="0.25">
      <c r="E2193" s="2"/>
      <c r="G2193" s="3"/>
      <c r="H2193" s="3"/>
      <c r="I2193" s="3"/>
      <c r="J2193" s="3"/>
      <c r="K2193" s="3"/>
      <c r="L2193" s="3"/>
      <c r="N2193" s="10"/>
      <c r="O2193" s="3"/>
      <c r="P2193" s="3"/>
      <c r="Q2193" s="3"/>
    </row>
    <row r="2194" spans="5:17" x14ac:dyDescent="0.25">
      <c r="E2194" s="2"/>
      <c r="G2194" s="3"/>
      <c r="H2194" s="3"/>
      <c r="I2194" s="3"/>
      <c r="J2194" s="3"/>
      <c r="K2194" s="3"/>
      <c r="L2194" s="3"/>
      <c r="N2194" s="10"/>
      <c r="O2194" s="3"/>
      <c r="P2194" s="3"/>
      <c r="Q2194" s="3"/>
    </row>
    <row r="2195" spans="5:17" x14ac:dyDescent="0.25">
      <c r="E2195" s="2"/>
      <c r="G2195" s="3"/>
      <c r="H2195" s="3"/>
      <c r="I2195" s="3"/>
      <c r="J2195" s="3"/>
      <c r="K2195" s="3"/>
      <c r="L2195" s="3"/>
      <c r="N2195" s="10"/>
      <c r="O2195" s="3"/>
      <c r="P2195" s="3"/>
      <c r="Q2195" s="3"/>
    </row>
    <row r="2196" spans="5:17" x14ac:dyDescent="0.25">
      <c r="E2196" s="2"/>
      <c r="G2196" s="3"/>
      <c r="H2196" s="3"/>
      <c r="I2196" s="3"/>
      <c r="J2196" s="3"/>
      <c r="K2196" s="3"/>
      <c r="L2196" s="3"/>
      <c r="N2196" s="10"/>
      <c r="O2196" s="3"/>
      <c r="P2196" s="3"/>
      <c r="Q2196" s="3"/>
    </row>
    <row r="2197" spans="5:17" x14ac:dyDescent="0.25">
      <c r="E2197" s="2"/>
      <c r="G2197" s="3"/>
      <c r="H2197" s="3"/>
      <c r="I2197" s="3"/>
      <c r="J2197" s="3"/>
      <c r="K2197" s="3"/>
      <c r="L2197" s="3"/>
      <c r="N2197" s="10"/>
      <c r="O2197" s="3"/>
      <c r="P2197" s="3"/>
      <c r="Q2197" s="3"/>
    </row>
    <row r="2198" spans="5:17" x14ac:dyDescent="0.25">
      <c r="E2198" s="2"/>
      <c r="G2198" s="3"/>
      <c r="H2198" s="3"/>
      <c r="I2198" s="3"/>
      <c r="J2198" s="3"/>
      <c r="K2198" s="3"/>
      <c r="L2198" s="3"/>
      <c r="N2198" s="10"/>
      <c r="O2198" s="3"/>
      <c r="P2198" s="3"/>
      <c r="Q2198" s="3"/>
    </row>
    <row r="2199" spans="5:17" x14ac:dyDescent="0.25">
      <c r="E2199" s="2"/>
      <c r="G2199" s="3"/>
      <c r="H2199" s="3"/>
      <c r="I2199" s="3"/>
      <c r="J2199" s="3"/>
      <c r="K2199" s="3"/>
      <c r="L2199" s="3"/>
      <c r="N2199" s="10"/>
      <c r="O2199" s="3"/>
      <c r="P2199" s="3"/>
      <c r="Q2199" s="3"/>
    </row>
    <row r="2200" spans="5:17" x14ac:dyDescent="0.25">
      <c r="E2200" s="2"/>
      <c r="G2200" s="3"/>
      <c r="H2200" s="3"/>
      <c r="I2200" s="3"/>
      <c r="J2200" s="3"/>
      <c r="K2200" s="3"/>
      <c r="L2200" s="3"/>
      <c r="N2200" s="10"/>
      <c r="O2200" s="3"/>
      <c r="P2200" s="3"/>
      <c r="Q2200" s="3"/>
    </row>
    <row r="2201" spans="5:17" x14ac:dyDescent="0.25">
      <c r="E2201" s="2"/>
      <c r="G2201" s="3"/>
      <c r="H2201" s="3"/>
      <c r="I2201" s="3"/>
      <c r="J2201" s="3"/>
      <c r="K2201" s="3"/>
      <c r="L2201" s="3"/>
      <c r="N2201" s="10"/>
      <c r="O2201" s="3"/>
      <c r="P2201" s="3"/>
      <c r="Q2201" s="3"/>
    </row>
    <row r="2202" spans="5:17" x14ac:dyDescent="0.25">
      <c r="E2202" s="2"/>
      <c r="G2202" s="3"/>
      <c r="H2202" s="3"/>
      <c r="I2202" s="3"/>
      <c r="J2202" s="3"/>
      <c r="K2202" s="3"/>
      <c r="L2202" s="3"/>
      <c r="N2202" s="10"/>
      <c r="O2202" s="3"/>
      <c r="P2202" s="3"/>
      <c r="Q2202" s="3"/>
    </row>
    <row r="2203" spans="5:17" x14ac:dyDescent="0.25">
      <c r="E2203" s="2"/>
      <c r="G2203" s="3"/>
      <c r="H2203" s="3"/>
      <c r="I2203" s="3"/>
      <c r="J2203" s="3"/>
      <c r="K2203" s="3"/>
      <c r="L2203" s="3"/>
      <c r="N2203" s="10"/>
      <c r="O2203" s="3"/>
      <c r="P2203" s="3"/>
      <c r="Q2203" s="3"/>
    </row>
    <row r="2204" spans="5:17" x14ac:dyDescent="0.25">
      <c r="E2204" s="2"/>
      <c r="G2204" s="3"/>
      <c r="H2204" s="3"/>
      <c r="I2204" s="3"/>
      <c r="J2204" s="3"/>
      <c r="K2204" s="3"/>
      <c r="L2204" s="3"/>
      <c r="N2204" s="10"/>
      <c r="O2204" s="3"/>
      <c r="P2204" s="3"/>
      <c r="Q2204" s="3"/>
    </row>
    <row r="2205" spans="5:17" x14ac:dyDescent="0.25">
      <c r="E2205" s="2"/>
      <c r="G2205" s="3"/>
      <c r="H2205" s="3"/>
      <c r="I2205" s="3"/>
      <c r="J2205" s="3"/>
      <c r="K2205" s="3"/>
      <c r="L2205" s="3"/>
      <c r="N2205" s="10"/>
      <c r="O2205" s="3"/>
      <c r="P2205" s="3"/>
      <c r="Q2205" s="3"/>
    </row>
    <row r="2206" spans="5:17" x14ac:dyDescent="0.25">
      <c r="E2206" s="2"/>
      <c r="G2206" s="3"/>
      <c r="H2206" s="3"/>
      <c r="I2206" s="3"/>
      <c r="J2206" s="3"/>
      <c r="K2206" s="3"/>
      <c r="L2206" s="3"/>
      <c r="N2206" s="10"/>
      <c r="O2206" s="3"/>
      <c r="P2206" s="3"/>
      <c r="Q2206" s="3"/>
    </row>
    <row r="2207" spans="5:17" x14ac:dyDescent="0.25">
      <c r="E2207" s="2"/>
      <c r="G2207" s="3"/>
      <c r="H2207" s="3"/>
      <c r="I2207" s="3"/>
      <c r="J2207" s="3"/>
      <c r="K2207" s="3"/>
      <c r="L2207" s="3"/>
      <c r="N2207" s="10"/>
      <c r="O2207" s="3"/>
      <c r="P2207" s="3"/>
      <c r="Q2207" s="3"/>
    </row>
    <row r="2208" spans="5:17" x14ac:dyDescent="0.25">
      <c r="E2208" s="2"/>
      <c r="G2208" s="3"/>
      <c r="H2208" s="3"/>
      <c r="I2208" s="3"/>
      <c r="J2208" s="3"/>
      <c r="K2208" s="3"/>
      <c r="L2208" s="3"/>
      <c r="N2208" s="10"/>
      <c r="O2208" s="3"/>
      <c r="P2208" s="3"/>
      <c r="Q2208" s="3"/>
    </row>
    <row r="2209" spans="5:17" x14ac:dyDescent="0.25">
      <c r="E2209" s="2"/>
      <c r="G2209" s="3"/>
      <c r="H2209" s="3"/>
      <c r="I2209" s="3"/>
      <c r="J2209" s="3"/>
      <c r="K2209" s="3"/>
      <c r="L2209" s="3"/>
      <c r="N2209" s="10"/>
      <c r="O2209" s="3"/>
      <c r="P2209" s="3"/>
      <c r="Q2209" s="3"/>
    </row>
    <row r="2210" spans="5:17" x14ac:dyDescent="0.25">
      <c r="E2210" s="2"/>
      <c r="G2210" s="3"/>
      <c r="H2210" s="3"/>
      <c r="I2210" s="3"/>
      <c r="J2210" s="3"/>
      <c r="K2210" s="3"/>
      <c r="L2210" s="3"/>
      <c r="N2210" s="10"/>
      <c r="O2210" s="3"/>
      <c r="P2210" s="3"/>
      <c r="Q2210" s="3"/>
    </row>
    <row r="2211" spans="5:17" x14ac:dyDescent="0.25">
      <c r="E2211" s="2"/>
      <c r="G2211" s="3"/>
      <c r="H2211" s="3"/>
      <c r="I2211" s="3"/>
      <c r="J2211" s="3"/>
      <c r="K2211" s="3"/>
      <c r="L2211" s="3"/>
      <c r="N2211" s="10"/>
      <c r="O2211" s="3"/>
      <c r="P2211" s="3"/>
      <c r="Q2211" s="3"/>
    </row>
    <row r="2212" spans="5:17" x14ac:dyDescent="0.25">
      <c r="E2212" s="2"/>
      <c r="G2212" s="3"/>
      <c r="H2212" s="3"/>
      <c r="I2212" s="3"/>
      <c r="J2212" s="3"/>
      <c r="K2212" s="3"/>
      <c r="L2212" s="3"/>
      <c r="N2212" s="10"/>
      <c r="O2212" s="3"/>
      <c r="P2212" s="3"/>
      <c r="Q2212" s="3"/>
    </row>
    <row r="2213" spans="5:17" x14ac:dyDescent="0.25">
      <c r="E2213" s="2"/>
      <c r="G2213" s="3"/>
      <c r="H2213" s="3"/>
      <c r="I2213" s="3"/>
      <c r="J2213" s="3"/>
      <c r="K2213" s="3"/>
      <c r="L2213" s="3"/>
      <c r="N2213" s="10"/>
      <c r="O2213" s="3"/>
      <c r="P2213" s="3"/>
      <c r="Q2213" s="3"/>
    </row>
    <row r="2214" spans="5:17" x14ac:dyDescent="0.25">
      <c r="E2214" s="2"/>
      <c r="G2214" s="3"/>
      <c r="H2214" s="3"/>
      <c r="I2214" s="3"/>
      <c r="J2214" s="3"/>
      <c r="K2214" s="3"/>
      <c r="L2214" s="3"/>
      <c r="N2214" s="10"/>
      <c r="O2214" s="3"/>
      <c r="P2214" s="3"/>
      <c r="Q2214" s="3"/>
    </row>
    <row r="2215" spans="5:17" x14ac:dyDescent="0.25">
      <c r="E2215" s="2"/>
      <c r="G2215" s="3"/>
      <c r="H2215" s="3"/>
      <c r="I2215" s="3"/>
      <c r="J2215" s="3"/>
      <c r="K2215" s="3"/>
      <c r="L2215" s="3"/>
      <c r="N2215" s="10"/>
      <c r="O2215" s="3"/>
      <c r="P2215" s="3"/>
      <c r="Q2215" s="3"/>
    </row>
    <row r="2216" spans="5:17" x14ac:dyDescent="0.25">
      <c r="E2216" s="2"/>
      <c r="G2216" s="3"/>
      <c r="H2216" s="3"/>
      <c r="I2216" s="3"/>
      <c r="J2216" s="3"/>
      <c r="K2216" s="3"/>
      <c r="L2216" s="3"/>
      <c r="N2216" s="10"/>
      <c r="O2216" s="3"/>
      <c r="P2216" s="3"/>
      <c r="Q2216" s="3"/>
    </row>
    <row r="2217" spans="5:17" x14ac:dyDescent="0.25">
      <c r="E2217" s="2"/>
      <c r="G2217" s="3"/>
      <c r="H2217" s="3"/>
      <c r="I2217" s="3"/>
      <c r="J2217" s="3"/>
      <c r="K2217" s="3"/>
      <c r="L2217" s="3"/>
      <c r="N2217" s="10"/>
      <c r="O2217" s="3"/>
      <c r="P2217" s="3"/>
      <c r="Q2217" s="3"/>
    </row>
    <row r="2218" spans="5:17" x14ac:dyDescent="0.25">
      <c r="E2218" s="2"/>
      <c r="G2218" s="3"/>
      <c r="H2218" s="3"/>
      <c r="I2218" s="3"/>
      <c r="J2218" s="3"/>
      <c r="K2218" s="3"/>
      <c r="L2218" s="3"/>
      <c r="N2218" s="10"/>
      <c r="O2218" s="3"/>
      <c r="P2218" s="3"/>
      <c r="Q2218" s="3"/>
    </row>
    <row r="2219" spans="5:17" x14ac:dyDescent="0.25">
      <c r="E2219" s="2"/>
      <c r="G2219" s="3"/>
      <c r="H2219" s="3"/>
      <c r="I2219" s="3"/>
      <c r="J2219" s="3"/>
      <c r="K2219" s="3"/>
      <c r="L2219" s="3"/>
      <c r="N2219" s="10"/>
      <c r="O2219" s="3"/>
      <c r="P2219" s="3"/>
      <c r="Q2219" s="3"/>
    </row>
    <row r="2220" spans="5:17" x14ac:dyDescent="0.25">
      <c r="E2220" s="2"/>
      <c r="G2220" s="3"/>
      <c r="H2220" s="3"/>
      <c r="I2220" s="3"/>
      <c r="J2220" s="3"/>
      <c r="K2220" s="3"/>
      <c r="L2220" s="3"/>
      <c r="N2220" s="10"/>
      <c r="O2220" s="3"/>
      <c r="P2220" s="3"/>
      <c r="Q2220" s="3"/>
    </row>
    <row r="2221" spans="5:17" x14ac:dyDescent="0.25">
      <c r="E2221" s="2"/>
      <c r="G2221" s="3"/>
      <c r="H2221" s="3"/>
      <c r="I2221" s="3"/>
      <c r="J2221" s="3"/>
      <c r="K2221" s="3"/>
      <c r="L2221" s="3"/>
      <c r="N2221" s="10"/>
      <c r="O2221" s="3"/>
      <c r="P2221" s="3"/>
      <c r="Q2221" s="3"/>
    </row>
    <row r="2222" spans="5:17" x14ac:dyDescent="0.25">
      <c r="E2222" s="2"/>
      <c r="G2222" s="3"/>
      <c r="H2222" s="3"/>
      <c r="I2222" s="3"/>
      <c r="J2222" s="3"/>
      <c r="K2222" s="3"/>
      <c r="L2222" s="3"/>
      <c r="N2222" s="10"/>
      <c r="O2222" s="3"/>
      <c r="P2222" s="3"/>
      <c r="Q2222" s="3"/>
    </row>
    <row r="2223" spans="5:17" x14ac:dyDescent="0.25">
      <c r="E2223" s="2"/>
      <c r="G2223" s="3"/>
      <c r="H2223" s="3"/>
      <c r="I2223" s="3"/>
      <c r="J2223" s="3"/>
      <c r="K2223" s="3"/>
      <c r="L2223" s="3"/>
      <c r="N2223" s="10"/>
      <c r="O2223" s="3"/>
      <c r="P2223" s="3"/>
      <c r="Q2223" s="3"/>
    </row>
    <row r="2224" spans="5:17" x14ac:dyDescent="0.25">
      <c r="E2224" s="2"/>
      <c r="G2224" s="3"/>
      <c r="H2224" s="3"/>
      <c r="I2224" s="3"/>
      <c r="J2224" s="3"/>
      <c r="K2224" s="3"/>
      <c r="L2224" s="3"/>
      <c r="N2224" s="10"/>
      <c r="O2224" s="3"/>
      <c r="P2224" s="3"/>
      <c r="Q2224" s="3"/>
    </row>
    <row r="2225" spans="5:17" x14ac:dyDescent="0.25">
      <c r="E2225" s="2"/>
      <c r="G2225" s="3"/>
      <c r="H2225" s="3"/>
      <c r="I2225" s="3"/>
      <c r="J2225" s="3"/>
      <c r="K2225" s="3"/>
      <c r="L2225" s="3"/>
      <c r="N2225" s="10"/>
      <c r="O2225" s="3"/>
      <c r="P2225" s="3"/>
      <c r="Q2225" s="3"/>
    </row>
    <row r="2226" spans="5:17" x14ac:dyDescent="0.25">
      <c r="E2226" s="2"/>
      <c r="G2226" s="3"/>
      <c r="H2226" s="3"/>
      <c r="I2226" s="3"/>
      <c r="J2226" s="3"/>
      <c r="K2226" s="3"/>
      <c r="L2226" s="3"/>
      <c r="N2226" s="10"/>
      <c r="O2226" s="3"/>
      <c r="P2226" s="3"/>
      <c r="Q2226" s="3"/>
    </row>
    <row r="2227" spans="5:17" x14ac:dyDescent="0.25">
      <c r="E2227" s="2"/>
      <c r="G2227" s="3"/>
      <c r="H2227" s="3"/>
      <c r="I2227" s="3"/>
      <c r="J2227" s="3"/>
      <c r="K2227" s="3"/>
      <c r="L2227" s="3"/>
      <c r="N2227" s="10"/>
      <c r="O2227" s="3"/>
      <c r="P2227" s="3"/>
      <c r="Q2227" s="3"/>
    </row>
    <row r="2228" spans="5:17" x14ac:dyDescent="0.25">
      <c r="E2228" s="2"/>
      <c r="G2228" s="3"/>
      <c r="H2228" s="3"/>
      <c r="I2228" s="3"/>
      <c r="J2228" s="3"/>
      <c r="K2228" s="3"/>
      <c r="L2228" s="3"/>
      <c r="N2228" s="10"/>
      <c r="O2228" s="3"/>
      <c r="P2228" s="3"/>
      <c r="Q2228" s="3"/>
    </row>
    <row r="2229" spans="5:17" x14ac:dyDescent="0.25">
      <c r="E2229" s="2"/>
      <c r="G2229" s="3"/>
      <c r="H2229" s="3"/>
      <c r="I2229" s="3"/>
      <c r="J2229" s="3"/>
      <c r="K2229" s="3"/>
      <c r="L2229" s="3"/>
      <c r="N2229" s="10"/>
      <c r="O2229" s="3"/>
      <c r="P2229" s="3"/>
      <c r="Q2229" s="3"/>
    </row>
    <row r="2230" spans="5:17" x14ac:dyDescent="0.25">
      <c r="E2230" s="2"/>
      <c r="G2230" s="3"/>
      <c r="H2230" s="3"/>
      <c r="I2230" s="3"/>
      <c r="J2230" s="3"/>
      <c r="K2230" s="3"/>
      <c r="L2230" s="3"/>
      <c r="N2230" s="10"/>
      <c r="O2230" s="3"/>
      <c r="P2230" s="3"/>
      <c r="Q2230" s="3"/>
    </row>
    <row r="2231" spans="5:17" x14ac:dyDescent="0.25">
      <c r="E2231" s="2"/>
      <c r="G2231" s="3"/>
      <c r="H2231" s="3"/>
      <c r="I2231" s="3"/>
      <c r="J2231" s="3"/>
      <c r="K2231" s="3"/>
      <c r="L2231" s="3"/>
      <c r="N2231" s="10"/>
      <c r="O2231" s="3"/>
      <c r="P2231" s="3"/>
      <c r="Q2231" s="3"/>
    </row>
    <row r="2232" spans="5:17" x14ac:dyDescent="0.25">
      <c r="E2232" s="2"/>
      <c r="G2232" s="3"/>
      <c r="H2232" s="3"/>
      <c r="I2232" s="3"/>
      <c r="J2232" s="3"/>
      <c r="K2232" s="3"/>
      <c r="L2232" s="3"/>
      <c r="N2232" s="10"/>
      <c r="O2232" s="3"/>
      <c r="P2232" s="3"/>
      <c r="Q2232" s="3"/>
    </row>
    <row r="2233" spans="5:17" x14ac:dyDescent="0.25">
      <c r="E2233" s="2"/>
      <c r="G2233" s="3"/>
      <c r="H2233" s="3"/>
      <c r="I2233" s="3"/>
      <c r="J2233" s="3"/>
      <c r="K2233" s="3"/>
      <c r="L2233" s="3"/>
      <c r="N2233" s="10"/>
      <c r="O2233" s="3"/>
      <c r="P2233" s="3"/>
      <c r="Q2233" s="3"/>
    </row>
    <row r="2234" spans="5:17" x14ac:dyDescent="0.25">
      <c r="E2234" s="2"/>
      <c r="G2234" s="3"/>
      <c r="H2234" s="3"/>
      <c r="I2234" s="3"/>
      <c r="J2234" s="3"/>
      <c r="K2234" s="3"/>
      <c r="L2234" s="3"/>
      <c r="N2234" s="10"/>
      <c r="O2234" s="3"/>
      <c r="P2234" s="3"/>
      <c r="Q2234" s="3"/>
    </row>
    <row r="2235" spans="5:17" x14ac:dyDescent="0.25">
      <c r="E2235" s="2"/>
      <c r="G2235" s="3"/>
      <c r="H2235" s="3"/>
      <c r="I2235" s="3"/>
      <c r="J2235" s="3"/>
      <c r="K2235" s="3"/>
      <c r="L2235" s="3"/>
      <c r="N2235" s="10"/>
      <c r="O2235" s="3"/>
      <c r="P2235" s="3"/>
      <c r="Q2235" s="3"/>
    </row>
    <row r="2236" spans="5:17" x14ac:dyDescent="0.25">
      <c r="E2236" s="2"/>
      <c r="G2236" s="3"/>
      <c r="H2236" s="3"/>
      <c r="I2236" s="3"/>
      <c r="J2236" s="3"/>
      <c r="K2236" s="3"/>
      <c r="L2236" s="3"/>
      <c r="N2236" s="10"/>
      <c r="O2236" s="3"/>
      <c r="P2236" s="3"/>
      <c r="Q2236" s="3"/>
    </row>
    <row r="2237" spans="5:17" x14ac:dyDescent="0.25">
      <c r="E2237" s="2"/>
      <c r="G2237" s="3"/>
      <c r="H2237" s="3"/>
      <c r="I2237" s="3"/>
      <c r="J2237" s="3"/>
      <c r="K2237" s="3"/>
      <c r="L2237" s="3"/>
      <c r="N2237" s="10"/>
      <c r="O2237" s="3"/>
      <c r="P2237" s="3"/>
      <c r="Q2237" s="3"/>
    </row>
    <row r="2238" spans="5:17" x14ac:dyDescent="0.25">
      <c r="E2238" s="2"/>
      <c r="G2238" s="3"/>
      <c r="H2238" s="3"/>
      <c r="I2238" s="3"/>
      <c r="J2238" s="3"/>
      <c r="K2238" s="3"/>
      <c r="L2238" s="3"/>
      <c r="N2238" s="10"/>
      <c r="O2238" s="3"/>
      <c r="P2238" s="3"/>
      <c r="Q2238" s="3"/>
    </row>
    <row r="2239" spans="5:17" x14ac:dyDescent="0.25">
      <c r="E2239" s="2"/>
      <c r="G2239" s="3"/>
      <c r="H2239" s="3"/>
      <c r="I2239" s="3"/>
      <c r="J2239" s="3"/>
      <c r="K2239" s="3"/>
      <c r="L2239" s="3"/>
      <c r="N2239" s="10"/>
      <c r="O2239" s="3"/>
      <c r="P2239" s="3"/>
      <c r="Q2239" s="3"/>
    </row>
    <row r="2240" spans="5:17" x14ac:dyDescent="0.25">
      <c r="E2240" s="2"/>
      <c r="G2240" s="3"/>
      <c r="H2240" s="3"/>
      <c r="I2240" s="3"/>
      <c r="J2240" s="3"/>
      <c r="K2240" s="3"/>
      <c r="L2240" s="3"/>
      <c r="N2240" s="10"/>
      <c r="O2240" s="3"/>
      <c r="P2240" s="3"/>
      <c r="Q2240" s="3"/>
    </row>
    <row r="2241" spans="5:17" x14ac:dyDescent="0.25">
      <c r="E2241" s="2"/>
      <c r="G2241" s="3"/>
      <c r="H2241" s="3"/>
      <c r="I2241" s="3"/>
      <c r="J2241" s="3"/>
      <c r="K2241" s="3"/>
      <c r="L2241" s="3"/>
      <c r="N2241" s="10"/>
      <c r="O2241" s="3"/>
      <c r="P2241" s="3"/>
      <c r="Q2241" s="3"/>
    </row>
    <row r="2242" spans="5:17" x14ac:dyDescent="0.25">
      <c r="E2242" s="2"/>
      <c r="G2242" s="3"/>
      <c r="H2242" s="3"/>
      <c r="I2242" s="3"/>
      <c r="J2242" s="3"/>
      <c r="K2242" s="3"/>
      <c r="L2242" s="3"/>
      <c r="N2242" s="10"/>
      <c r="O2242" s="3"/>
      <c r="P2242" s="3"/>
      <c r="Q2242" s="3"/>
    </row>
    <row r="2243" spans="5:17" x14ac:dyDescent="0.25">
      <c r="E2243" s="2"/>
      <c r="G2243" s="3"/>
      <c r="H2243" s="3"/>
      <c r="I2243" s="3"/>
      <c r="J2243" s="3"/>
      <c r="K2243" s="3"/>
      <c r="L2243" s="3"/>
      <c r="N2243" s="10"/>
      <c r="O2243" s="3"/>
      <c r="P2243" s="3"/>
      <c r="Q2243" s="3"/>
    </row>
    <row r="2244" spans="5:17" x14ac:dyDescent="0.25">
      <c r="E2244" s="2"/>
      <c r="G2244" s="3"/>
      <c r="H2244" s="3"/>
      <c r="I2244" s="3"/>
      <c r="J2244" s="3"/>
      <c r="K2244" s="3"/>
      <c r="L2244" s="3"/>
      <c r="N2244" s="10"/>
      <c r="O2244" s="3"/>
      <c r="P2244" s="3"/>
      <c r="Q2244" s="3"/>
    </row>
    <row r="2245" spans="5:17" x14ac:dyDescent="0.25">
      <c r="E2245" s="2"/>
      <c r="G2245" s="3"/>
      <c r="H2245" s="3"/>
      <c r="I2245" s="3"/>
      <c r="J2245" s="3"/>
      <c r="K2245" s="3"/>
      <c r="L2245" s="3"/>
      <c r="N2245" s="10"/>
      <c r="O2245" s="3"/>
      <c r="P2245" s="3"/>
      <c r="Q2245" s="3"/>
    </row>
    <row r="2246" spans="5:17" x14ac:dyDescent="0.25">
      <c r="E2246" s="2"/>
      <c r="G2246" s="3"/>
      <c r="H2246" s="3"/>
      <c r="I2246" s="3"/>
      <c r="J2246" s="3"/>
      <c r="K2246" s="3"/>
      <c r="L2246" s="3"/>
      <c r="N2246" s="10"/>
      <c r="O2246" s="3"/>
      <c r="P2246" s="3"/>
      <c r="Q2246" s="3"/>
    </row>
    <row r="2247" spans="5:17" x14ac:dyDescent="0.25">
      <c r="E2247" s="2"/>
      <c r="G2247" s="3"/>
      <c r="H2247" s="3"/>
      <c r="I2247" s="3"/>
      <c r="J2247" s="3"/>
      <c r="K2247" s="3"/>
      <c r="L2247" s="3"/>
      <c r="N2247" s="10"/>
      <c r="O2247" s="3"/>
      <c r="P2247" s="3"/>
      <c r="Q2247" s="3"/>
    </row>
    <row r="2248" spans="5:17" x14ac:dyDescent="0.25">
      <c r="E2248" s="2"/>
      <c r="G2248" s="3"/>
      <c r="H2248" s="3"/>
      <c r="I2248" s="3"/>
      <c r="J2248" s="3"/>
      <c r="K2248" s="3"/>
      <c r="L2248" s="3"/>
      <c r="N2248" s="10"/>
      <c r="O2248" s="3"/>
      <c r="P2248" s="3"/>
      <c r="Q2248" s="3"/>
    </row>
    <row r="2249" spans="5:17" x14ac:dyDescent="0.25">
      <c r="E2249" s="2"/>
      <c r="G2249" s="3"/>
      <c r="H2249" s="3"/>
      <c r="I2249" s="3"/>
      <c r="J2249" s="3"/>
      <c r="K2249" s="3"/>
      <c r="L2249" s="3"/>
      <c r="N2249" s="10"/>
      <c r="O2249" s="3"/>
      <c r="P2249" s="3"/>
      <c r="Q2249" s="3"/>
    </row>
    <row r="2250" spans="5:17" x14ac:dyDescent="0.25">
      <c r="E2250" s="2"/>
      <c r="G2250" s="3"/>
      <c r="H2250" s="3"/>
      <c r="I2250" s="3"/>
      <c r="J2250" s="3"/>
      <c r="K2250" s="3"/>
      <c r="L2250" s="3"/>
      <c r="N2250" s="10"/>
      <c r="O2250" s="3"/>
      <c r="P2250" s="3"/>
      <c r="Q2250" s="3"/>
    </row>
    <row r="2251" spans="5:17" x14ac:dyDescent="0.25">
      <c r="E2251" s="2"/>
      <c r="G2251" s="3"/>
      <c r="H2251" s="3"/>
      <c r="I2251" s="3"/>
      <c r="J2251" s="3"/>
      <c r="K2251" s="3"/>
      <c r="L2251" s="3"/>
      <c r="N2251" s="10"/>
      <c r="O2251" s="3"/>
      <c r="P2251" s="3"/>
      <c r="Q2251" s="3"/>
    </row>
    <row r="2252" spans="5:17" x14ac:dyDescent="0.25">
      <c r="E2252" s="2"/>
      <c r="G2252" s="3"/>
      <c r="H2252" s="3"/>
      <c r="I2252" s="3"/>
      <c r="J2252" s="3"/>
      <c r="K2252" s="3"/>
      <c r="L2252" s="3"/>
      <c r="N2252" s="10"/>
      <c r="O2252" s="3"/>
      <c r="P2252" s="3"/>
      <c r="Q2252" s="3"/>
    </row>
    <row r="2253" spans="5:17" x14ac:dyDescent="0.25">
      <c r="E2253" s="2"/>
      <c r="G2253" s="3"/>
      <c r="H2253" s="3"/>
      <c r="I2253" s="3"/>
      <c r="J2253" s="3"/>
      <c r="K2253" s="3"/>
      <c r="L2253" s="3"/>
      <c r="N2253" s="10"/>
      <c r="O2253" s="3"/>
      <c r="P2253" s="3"/>
      <c r="Q2253" s="3"/>
    </row>
    <row r="2254" spans="5:17" x14ac:dyDescent="0.25">
      <c r="E2254" s="2"/>
      <c r="G2254" s="3"/>
      <c r="H2254" s="3"/>
      <c r="I2254" s="3"/>
      <c r="J2254" s="3"/>
      <c r="K2254" s="3"/>
      <c r="L2254" s="3"/>
      <c r="N2254" s="10"/>
      <c r="O2254" s="3"/>
      <c r="P2254" s="3"/>
      <c r="Q2254" s="3"/>
    </row>
    <row r="2255" spans="5:17" x14ac:dyDescent="0.25">
      <c r="E2255" s="2"/>
      <c r="G2255" s="3"/>
      <c r="H2255" s="3"/>
      <c r="I2255" s="3"/>
      <c r="J2255" s="3"/>
      <c r="K2255" s="3"/>
      <c r="L2255" s="3"/>
      <c r="N2255" s="10"/>
      <c r="O2255" s="3"/>
      <c r="P2255" s="3"/>
      <c r="Q2255" s="3"/>
    </row>
    <row r="2256" spans="5:17" x14ac:dyDescent="0.25">
      <c r="E2256" s="2"/>
      <c r="G2256" s="3"/>
      <c r="H2256" s="3"/>
      <c r="I2256" s="3"/>
      <c r="J2256" s="3"/>
      <c r="K2256" s="3"/>
      <c r="L2256" s="3"/>
      <c r="N2256" s="10"/>
      <c r="O2256" s="3"/>
      <c r="P2256" s="3"/>
      <c r="Q2256" s="3"/>
    </row>
    <row r="2257" spans="5:17" x14ac:dyDescent="0.25">
      <c r="E2257" s="2"/>
      <c r="G2257" s="3"/>
      <c r="H2257" s="3"/>
      <c r="I2257" s="3"/>
      <c r="J2257" s="3"/>
      <c r="K2257" s="3"/>
      <c r="L2257" s="3"/>
      <c r="N2257" s="10"/>
      <c r="O2257" s="3"/>
      <c r="P2257" s="3"/>
      <c r="Q2257" s="3"/>
    </row>
    <row r="2258" spans="5:17" x14ac:dyDescent="0.25">
      <c r="E2258" s="2"/>
      <c r="G2258" s="3"/>
      <c r="H2258" s="3"/>
      <c r="I2258" s="3"/>
      <c r="J2258" s="3"/>
      <c r="K2258" s="3"/>
      <c r="L2258" s="3"/>
      <c r="N2258" s="10"/>
      <c r="O2258" s="3"/>
      <c r="P2258" s="3"/>
      <c r="Q2258" s="3"/>
    </row>
    <row r="2259" spans="5:17" x14ac:dyDescent="0.25">
      <c r="E2259" s="2"/>
      <c r="G2259" s="3"/>
      <c r="H2259" s="3"/>
      <c r="I2259" s="3"/>
      <c r="J2259" s="3"/>
      <c r="K2259" s="3"/>
      <c r="L2259" s="3"/>
      <c r="N2259" s="10"/>
      <c r="O2259" s="3"/>
      <c r="P2259" s="3"/>
      <c r="Q2259" s="3"/>
    </row>
    <row r="2260" spans="5:17" x14ac:dyDescent="0.25">
      <c r="E2260" s="2"/>
      <c r="G2260" s="3"/>
      <c r="H2260" s="3"/>
      <c r="I2260" s="3"/>
      <c r="J2260" s="3"/>
      <c r="K2260" s="3"/>
      <c r="L2260" s="3"/>
      <c r="N2260" s="10"/>
      <c r="O2260" s="3"/>
      <c r="P2260" s="3"/>
      <c r="Q2260" s="3"/>
    </row>
    <row r="2261" spans="5:17" x14ac:dyDescent="0.25">
      <c r="E2261" s="2"/>
      <c r="G2261" s="3"/>
      <c r="H2261" s="3"/>
      <c r="I2261" s="3"/>
      <c r="J2261" s="3"/>
      <c r="K2261" s="3"/>
      <c r="L2261" s="3"/>
      <c r="N2261" s="10"/>
      <c r="O2261" s="3"/>
      <c r="P2261" s="3"/>
      <c r="Q2261" s="3"/>
    </row>
    <row r="2262" spans="5:17" x14ac:dyDescent="0.25">
      <c r="E2262" s="2"/>
      <c r="G2262" s="3"/>
      <c r="H2262" s="3"/>
      <c r="I2262" s="3"/>
      <c r="J2262" s="3"/>
      <c r="K2262" s="3"/>
      <c r="L2262" s="3"/>
      <c r="N2262" s="10"/>
      <c r="O2262" s="3"/>
      <c r="P2262" s="3"/>
      <c r="Q2262" s="3"/>
    </row>
    <row r="2263" spans="5:17" x14ac:dyDescent="0.25">
      <c r="E2263" s="2"/>
      <c r="G2263" s="3"/>
      <c r="H2263" s="3"/>
      <c r="I2263" s="3"/>
      <c r="J2263" s="3"/>
      <c r="K2263" s="3"/>
      <c r="L2263" s="3"/>
      <c r="N2263" s="10"/>
      <c r="O2263" s="3"/>
      <c r="P2263" s="3"/>
      <c r="Q2263" s="3"/>
    </row>
    <row r="2264" spans="5:17" x14ac:dyDescent="0.25">
      <c r="E2264" s="2"/>
      <c r="G2264" s="3"/>
      <c r="H2264" s="3"/>
      <c r="I2264" s="3"/>
      <c r="J2264" s="3"/>
      <c r="K2264" s="3"/>
      <c r="L2264" s="3"/>
      <c r="N2264" s="10"/>
      <c r="O2264" s="3"/>
      <c r="P2264" s="3"/>
      <c r="Q2264" s="3"/>
    </row>
    <row r="2265" spans="5:17" x14ac:dyDescent="0.25">
      <c r="E2265" s="2"/>
      <c r="G2265" s="3"/>
      <c r="H2265" s="3"/>
      <c r="I2265" s="3"/>
      <c r="J2265" s="3"/>
      <c r="K2265" s="3"/>
      <c r="L2265" s="3"/>
      <c r="N2265" s="10"/>
      <c r="O2265" s="3"/>
      <c r="P2265" s="3"/>
      <c r="Q2265" s="3"/>
    </row>
    <row r="2266" spans="5:17" x14ac:dyDescent="0.25">
      <c r="E2266" s="2"/>
      <c r="G2266" s="3"/>
      <c r="H2266" s="3"/>
      <c r="I2266" s="3"/>
      <c r="J2266" s="3"/>
      <c r="K2266" s="3"/>
      <c r="L2266" s="3"/>
      <c r="N2266" s="10"/>
      <c r="O2266" s="3"/>
      <c r="P2266" s="3"/>
      <c r="Q2266" s="3"/>
    </row>
    <row r="2267" spans="5:17" x14ac:dyDescent="0.25">
      <c r="E2267" s="2"/>
      <c r="G2267" s="3"/>
      <c r="H2267" s="3"/>
      <c r="I2267" s="3"/>
      <c r="J2267" s="3"/>
      <c r="K2267" s="3"/>
      <c r="L2267" s="3"/>
      <c r="N2267" s="10"/>
      <c r="O2267" s="3"/>
      <c r="P2267" s="3"/>
      <c r="Q2267" s="3"/>
    </row>
    <row r="2268" spans="5:17" x14ac:dyDescent="0.25">
      <c r="E2268" s="2"/>
      <c r="G2268" s="3"/>
      <c r="H2268" s="3"/>
      <c r="I2268" s="3"/>
      <c r="J2268" s="3"/>
      <c r="K2268" s="3"/>
      <c r="L2268" s="3"/>
      <c r="N2268" s="10"/>
      <c r="O2268" s="3"/>
      <c r="P2268" s="3"/>
      <c r="Q2268" s="3"/>
    </row>
    <row r="2269" spans="5:17" x14ac:dyDescent="0.25">
      <c r="E2269" s="2"/>
      <c r="G2269" s="3"/>
      <c r="H2269" s="3"/>
      <c r="I2269" s="3"/>
      <c r="J2269" s="3"/>
      <c r="K2269" s="3"/>
      <c r="L2269" s="3"/>
      <c r="N2269" s="10"/>
      <c r="O2269" s="3"/>
      <c r="P2269" s="3"/>
      <c r="Q2269" s="3"/>
    </row>
    <row r="2270" spans="5:17" x14ac:dyDescent="0.25">
      <c r="E2270" s="2"/>
      <c r="G2270" s="3"/>
      <c r="H2270" s="3"/>
      <c r="I2270" s="3"/>
      <c r="J2270" s="3"/>
      <c r="K2270" s="3"/>
      <c r="L2270" s="3"/>
      <c r="N2270" s="10"/>
      <c r="O2270" s="3"/>
      <c r="P2270" s="3"/>
      <c r="Q2270" s="3"/>
    </row>
    <row r="2271" spans="5:17" x14ac:dyDescent="0.25">
      <c r="E2271" s="2"/>
      <c r="G2271" s="3"/>
      <c r="H2271" s="3"/>
      <c r="I2271" s="3"/>
      <c r="J2271" s="3"/>
      <c r="K2271" s="3"/>
      <c r="L2271" s="3"/>
      <c r="N2271" s="10"/>
      <c r="O2271" s="3"/>
      <c r="P2271" s="3"/>
      <c r="Q2271" s="3"/>
    </row>
    <row r="2272" spans="5:17" x14ac:dyDescent="0.25">
      <c r="E2272" s="2"/>
      <c r="G2272" s="3"/>
      <c r="H2272" s="3"/>
      <c r="I2272" s="3"/>
      <c r="J2272" s="3"/>
      <c r="K2272" s="3"/>
      <c r="L2272" s="3"/>
      <c r="N2272" s="10"/>
      <c r="O2272" s="3"/>
      <c r="P2272" s="3"/>
      <c r="Q2272" s="3"/>
    </row>
    <row r="2273" spans="5:17" x14ac:dyDescent="0.25">
      <c r="E2273" s="2"/>
      <c r="G2273" s="3"/>
      <c r="H2273" s="3"/>
      <c r="I2273" s="3"/>
      <c r="J2273" s="3"/>
      <c r="K2273" s="3"/>
      <c r="L2273" s="3"/>
      <c r="N2273" s="10"/>
      <c r="O2273" s="3"/>
      <c r="P2273" s="3"/>
      <c r="Q2273" s="3"/>
    </row>
    <row r="2274" spans="5:17" x14ac:dyDescent="0.25">
      <c r="E2274" s="2"/>
      <c r="G2274" s="3"/>
      <c r="H2274" s="3"/>
      <c r="I2274" s="3"/>
      <c r="J2274" s="3"/>
      <c r="K2274" s="3"/>
      <c r="L2274" s="3"/>
      <c r="N2274" s="10"/>
      <c r="O2274" s="3"/>
      <c r="P2274" s="3"/>
      <c r="Q2274" s="3"/>
    </row>
    <row r="2275" spans="5:17" x14ac:dyDescent="0.25">
      <c r="E2275" s="2"/>
      <c r="G2275" s="3"/>
      <c r="H2275" s="3"/>
      <c r="I2275" s="3"/>
      <c r="J2275" s="3"/>
      <c r="K2275" s="3"/>
      <c r="L2275" s="3"/>
      <c r="N2275" s="10"/>
      <c r="O2275" s="3"/>
      <c r="P2275" s="3"/>
      <c r="Q2275" s="3"/>
    </row>
    <row r="2276" spans="5:17" x14ac:dyDescent="0.25">
      <c r="E2276" s="2"/>
      <c r="G2276" s="3"/>
      <c r="H2276" s="3"/>
      <c r="I2276" s="3"/>
      <c r="J2276" s="3"/>
      <c r="K2276" s="3"/>
      <c r="L2276" s="3"/>
      <c r="N2276" s="10"/>
      <c r="O2276" s="3"/>
      <c r="P2276" s="3"/>
      <c r="Q2276" s="3"/>
    </row>
    <row r="2277" spans="5:17" x14ac:dyDescent="0.25">
      <c r="E2277" s="2"/>
      <c r="G2277" s="3"/>
      <c r="H2277" s="3"/>
      <c r="I2277" s="3"/>
      <c r="J2277" s="3"/>
      <c r="K2277" s="3"/>
      <c r="L2277" s="3"/>
      <c r="N2277" s="10"/>
      <c r="O2277" s="3"/>
      <c r="P2277" s="3"/>
      <c r="Q2277" s="3"/>
    </row>
    <row r="2278" spans="5:17" x14ac:dyDescent="0.25">
      <c r="E2278" s="2"/>
      <c r="G2278" s="3"/>
      <c r="H2278" s="3"/>
      <c r="I2278" s="3"/>
      <c r="J2278" s="3"/>
      <c r="K2278" s="3"/>
      <c r="L2278" s="3"/>
      <c r="N2278" s="10"/>
      <c r="O2278" s="3"/>
      <c r="P2278" s="3"/>
      <c r="Q2278" s="3"/>
    </row>
    <row r="2279" spans="5:17" x14ac:dyDescent="0.25">
      <c r="E2279" s="2"/>
      <c r="G2279" s="3"/>
      <c r="H2279" s="3"/>
      <c r="I2279" s="3"/>
      <c r="J2279" s="3"/>
      <c r="K2279" s="3"/>
      <c r="L2279" s="3"/>
      <c r="N2279" s="10"/>
      <c r="O2279" s="3"/>
      <c r="P2279" s="3"/>
      <c r="Q2279" s="3"/>
    </row>
    <row r="2280" spans="5:17" x14ac:dyDescent="0.25">
      <c r="E2280" s="2"/>
      <c r="G2280" s="3"/>
      <c r="H2280" s="3"/>
      <c r="I2280" s="3"/>
      <c r="J2280" s="3"/>
      <c r="K2280" s="3"/>
      <c r="L2280" s="3"/>
      <c r="N2280" s="10"/>
      <c r="O2280" s="3"/>
      <c r="P2280" s="3"/>
      <c r="Q2280" s="3"/>
    </row>
    <row r="2281" spans="5:17" x14ac:dyDescent="0.25">
      <c r="E2281" s="2"/>
      <c r="G2281" s="3"/>
      <c r="H2281" s="3"/>
      <c r="I2281" s="3"/>
      <c r="J2281" s="3"/>
      <c r="K2281" s="3"/>
      <c r="L2281" s="3"/>
      <c r="N2281" s="10"/>
      <c r="O2281" s="3"/>
      <c r="P2281" s="3"/>
      <c r="Q2281" s="3"/>
    </row>
    <row r="2282" spans="5:17" x14ac:dyDescent="0.25">
      <c r="E2282" s="2"/>
      <c r="G2282" s="3"/>
      <c r="H2282" s="3"/>
      <c r="I2282" s="3"/>
      <c r="J2282" s="3"/>
      <c r="K2282" s="3"/>
      <c r="L2282" s="3"/>
      <c r="N2282" s="10"/>
      <c r="O2282" s="3"/>
      <c r="P2282" s="3"/>
      <c r="Q2282" s="3"/>
    </row>
    <row r="2283" spans="5:17" x14ac:dyDescent="0.25">
      <c r="E2283" s="2"/>
      <c r="G2283" s="3"/>
      <c r="H2283" s="3"/>
      <c r="I2283" s="3"/>
      <c r="J2283" s="3"/>
      <c r="K2283" s="3"/>
      <c r="L2283" s="3"/>
      <c r="N2283" s="10"/>
      <c r="O2283" s="3"/>
      <c r="P2283" s="3"/>
      <c r="Q2283" s="3"/>
    </row>
    <row r="2284" spans="5:17" x14ac:dyDescent="0.25">
      <c r="E2284" s="2"/>
      <c r="G2284" s="3"/>
      <c r="H2284" s="3"/>
      <c r="I2284" s="3"/>
      <c r="J2284" s="3"/>
      <c r="K2284" s="3"/>
      <c r="L2284" s="3"/>
      <c r="N2284" s="10"/>
      <c r="O2284" s="3"/>
      <c r="P2284" s="3"/>
      <c r="Q2284" s="3"/>
    </row>
    <row r="2285" spans="5:17" x14ac:dyDescent="0.25">
      <c r="E2285" s="2"/>
      <c r="G2285" s="3"/>
      <c r="H2285" s="3"/>
      <c r="I2285" s="3"/>
      <c r="J2285" s="3"/>
      <c r="K2285" s="3"/>
      <c r="L2285" s="3"/>
      <c r="N2285" s="10"/>
      <c r="O2285" s="3"/>
      <c r="P2285" s="3"/>
      <c r="Q2285" s="3"/>
    </row>
    <row r="2286" spans="5:17" x14ac:dyDescent="0.25">
      <c r="E2286" s="2"/>
      <c r="G2286" s="3"/>
      <c r="H2286" s="3"/>
      <c r="I2286" s="3"/>
      <c r="J2286" s="3"/>
      <c r="K2286" s="3"/>
      <c r="L2286" s="3"/>
      <c r="N2286" s="10"/>
      <c r="O2286" s="3"/>
      <c r="P2286" s="3"/>
      <c r="Q2286" s="3"/>
    </row>
    <row r="2287" spans="5:17" x14ac:dyDescent="0.25">
      <c r="E2287" s="2"/>
      <c r="G2287" s="3"/>
      <c r="H2287" s="3"/>
      <c r="I2287" s="3"/>
      <c r="J2287" s="3"/>
      <c r="K2287" s="3"/>
      <c r="L2287" s="3"/>
      <c r="N2287" s="10"/>
      <c r="O2287" s="3"/>
      <c r="P2287" s="3"/>
      <c r="Q2287" s="3"/>
    </row>
    <row r="2288" spans="5:17" x14ac:dyDescent="0.25">
      <c r="E2288" s="2"/>
      <c r="G2288" s="3"/>
      <c r="H2288" s="3"/>
      <c r="I2288" s="3"/>
      <c r="J2288" s="3"/>
      <c r="K2288" s="3"/>
      <c r="L2288" s="3"/>
      <c r="N2288" s="10"/>
      <c r="O2288" s="3"/>
      <c r="P2288" s="3"/>
      <c r="Q2288" s="3"/>
    </row>
    <row r="2289" spans="5:17" x14ac:dyDescent="0.25">
      <c r="E2289" s="2"/>
      <c r="G2289" s="3"/>
      <c r="H2289" s="3"/>
      <c r="I2289" s="3"/>
      <c r="J2289" s="3"/>
      <c r="K2289" s="3"/>
      <c r="L2289" s="3"/>
      <c r="N2289" s="10"/>
      <c r="O2289" s="3"/>
      <c r="P2289" s="3"/>
      <c r="Q2289" s="3"/>
    </row>
    <row r="2290" spans="5:17" x14ac:dyDescent="0.25">
      <c r="E2290" s="2"/>
      <c r="G2290" s="3"/>
      <c r="H2290" s="3"/>
      <c r="I2290" s="3"/>
      <c r="J2290" s="3"/>
      <c r="K2290" s="3"/>
      <c r="L2290" s="3"/>
      <c r="N2290" s="10"/>
      <c r="O2290" s="3"/>
      <c r="P2290" s="3"/>
      <c r="Q2290" s="3"/>
    </row>
    <row r="2291" spans="5:17" x14ac:dyDescent="0.25">
      <c r="E2291" s="2"/>
      <c r="G2291" s="3"/>
      <c r="H2291" s="3"/>
      <c r="I2291" s="3"/>
      <c r="J2291" s="3"/>
      <c r="K2291" s="3"/>
      <c r="L2291" s="3"/>
      <c r="N2291" s="10"/>
      <c r="O2291" s="3"/>
      <c r="P2291" s="3"/>
      <c r="Q2291" s="3"/>
    </row>
    <row r="2292" spans="5:17" x14ac:dyDescent="0.25">
      <c r="E2292" s="2"/>
      <c r="G2292" s="3"/>
      <c r="H2292" s="3"/>
      <c r="I2292" s="3"/>
      <c r="J2292" s="3"/>
      <c r="K2292" s="3"/>
      <c r="L2292" s="3"/>
      <c r="N2292" s="10"/>
      <c r="O2292" s="3"/>
      <c r="P2292" s="3"/>
      <c r="Q2292" s="3"/>
    </row>
    <row r="2293" spans="5:17" x14ac:dyDescent="0.25">
      <c r="E2293" s="2"/>
      <c r="G2293" s="3"/>
      <c r="H2293" s="3"/>
      <c r="I2293" s="3"/>
      <c r="J2293" s="3"/>
      <c r="K2293" s="3"/>
      <c r="L2293" s="3"/>
      <c r="N2293" s="10"/>
      <c r="O2293" s="3"/>
      <c r="P2293" s="3"/>
      <c r="Q2293" s="3"/>
    </row>
    <row r="2294" spans="5:17" x14ac:dyDescent="0.25">
      <c r="E2294" s="2"/>
      <c r="G2294" s="3"/>
      <c r="H2294" s="3"/>
      <c r="I2294" s="3"/>
      <c r="J2294" s="3"/>
      <c r="K2294" s="3"/>
      <c r="L2294" s="3"/>
      <c r="N2294" s="10"/>
      <c r="O2294" s="3"/>
      <c r="P2294" s="3"/>
      <c r="Q2294" s="3"/>
    </row>
    <row r="2295" spans="5:17" x14ac:dyDescent="0.25">
      <c r="E2295" s="2"/>
      <c r="G2295" s="3"/>
      <c r="H2295" s="3"/>
      <c r="I2295" s="3"/>
      <c r="J2295" s="3"/>
      <c r="K2295" s="3"/>
      <c r="L2295" s="3"/>
      <c r="N2295" s="10"/>
      <c r="O2295" s="3"/>
      <c r="P2295" s="3"/>
      <c r="Q2295" s="3"/>
    </row>
    <row r="2296" spans="5:17" x14ac:dyDescent="0.25">
      <c r="E2296" s="2"/>
      <c r="G2296" s="3"/>
      <c r="H2296" s="3"/>
      <c r="I2296" s="3"/>
      <c r="J2296" s="3"/>
      <c r="K2296" s="3"/>
      <c r="L2296" s="3"/>
      <c r="N2296" s="10"/>
      <c r="O2296" s="3"/>
      <c r="P2296" s="3"/>
      <c r="Q2296" s="3"/>
    </row>
    <row r="2297" spans="5:17" x14ac:dyDescent="0.25">
      <c r="E2297" s="2"/>
      <c r="G2297" s="3"/>
      <c r="H2297" s="3"/>
      <c r="I2297" s="3"/>
      <c r="J2297" s="3"/>
      <c r="K2297" s="3"/>
      <c r="L2297" s="3"/>
      <c r="N2297" s="10"/>
      <c r="O2297" s="3"/>
      <c r="P2297" s="3"/>
      <c r="Q2297" s="3"/>
    </row>
    <row r="2298" spans="5:17" x14ac:dyDescent="0.25">
      <c r="E2298" s="2"/>
      <c r="G2298" s="3"/>
      <c r="H2298" s="3"/>
      <c r="I2298" s="3"/>
      <c r="J2298" s="3"/>
      <c r="K2298" s="3"/>
      <c r="L2298" s="3"/>
      <c r="N2298" s="10"/>
      <c r="O2298" s="3"/>
      <c r="P2298" s="3"/>
      <c r="Q2298" s="3"/>
    </row>
    <row r="2299" spans="5:17" x14ac:dyDescent="0.25">
      <c r="E2299" s="2"/>
      <c r="G2299" s="3"/>
      <c r="H2299" s="3"/>
      <c r="I2299" s="3"/>
      <c r="J2299" s="3"/>
      <c r="K2299" s="3"/>
      <c r="L2299" s="3"/>
      <c r="N2299" s="10"/>
      <c r="O2299" s="3"/>
      <c r="P2299" s="3"/>
      <c r="Q2299" s="3"/>
    </row>
    <row r="2300" spans="5:17" x14ac:dyDescent="0.25">
      <c r="E2300" s="2"/>
      <c r="G2300" s="3"/>
      <c r="H2300" s="3"/>
      <c r="I2300" s="3"/>
      <c r="J2300" s="3"/>
      <c r="K2300" s="3"/>
      <c r="L2300" s="3"/>
      <c r="N2300" s="10"/>
      <c r="O2300" s="3"/>
      <c r="P2300" s="3"/>
      <c r="Q2300" s="3"/>
    </row>
    <row r="2301" spans="5:17" x14ac:dyDescent="0.25">
      <c r="E2301" s="2"/>
      <c r="G2301" s="3"/>
      <c r="H2301" s="3"/>
      <c r="I2301" s="3"/>
      <c r="J2301" s="3"/>
      <c r="K2301" s="3"/>
      <c r="L2301" s="3"/>
      <c r="N2301" s="10"/>
      <c r="O2301" s="3"/>
      <c r="P2301" s="3"/>
      <c r="Q2301" s="3"/>
    </row>
    <row r="2302" spans="5:17" x14ac:dyDescent="0.25">
      <c r="E2302" s="2"/>
      <c r="G2302" s="3"/>
      <c r="H2302" s="3"/>
      <c r="I2302" s="3"/>
      <c r="J2302" s="3"/>
      <c r="K2302" s="3"/>
      <c r="L2302" s="3"/>
      <c r="N2302" s="10"/>
      <c r="O2302" s="3"/>
      <c r="P2302" s="3"/>
      <c r="Q2302" s="3"/>
    </row>
    <row r="2303" spans="5:17" x14ac:dyDescent="0.25">
      <c r="E2303" s="2"/>
      <c r="G2303" s="3"/>
      <c r="H2303" s="3"/>
      <c r="I2303" s="3"/>
      <c r="J2303" s="3"/>
      <c r="K2303" s="3"/>
      <c r="L2303" s="3"/>
      <c r="N2303" s="10"/>
      <c r="O2303" s="3"/>
      <c r="P2303" s="3"/>
      <c r="Q2303" s="3"/>
    </row>
    <row r="2304" spans="5:17" x14ac:dyDescent="0.25">
      <c r="E2304" s="2"/>
      <c r="G2304" s="3"/>
      <c r="H2304" s="3"/>
      <c r="I2304" s="3"/>
      <c r="J2304" s="3"/>
      <c r="K2304" s="3"/>
      <c r="L2304" s="3"/>
      <c r="N2304" s="10"/>
      <c r="O2304" s="3"/>
      <c r="P2304" s="3"/>
      <c r="Q2304" s="3"/>
    </row>
    <row r="2305" spans="5:17" x14ac:dyDescent="0.25">
      <c r="E2305" s="2"/>
      <c r="G2305" s="3"/>
      <c r="H2305" s="3"/>
      <c r="I2305" s="3"/>
      <c r="J2305" s="3"/>
      <c r="K2305" s="3"/>
      <c r="L2305" s="3"/>
      <c r="N2305" s="10"/>
      <c r="O2305" s="3"/>
      <c r="P2305" s="3"/>
      <c r="Q2305" s="3"/>
    </row>
    <row r="2306" spans="5:17" x14ac:dyDescent="0.25">
      <c r="E2306" s="2"/>
      <c r="G2306" s="3"/>
      <c r="H2306" s="3"/>
      <c r="I2306" s="3"/>
      <c r="J2306" s="3"/>
      <c r="K2306" s="3"/>
      <c r="L2306" s="3"/>
      <c r="N2306" s="10"/>
      <c r="O2306" s="3"/>
      <c r="P2306" s="3"/>
      <c r="Q2306" s="3"/>
    </row>
    <row r="2307" spans="5:17" x14ac:dyDescent="0.25">
      <c r="E2307" s="2"/>
      <c r="G2307" s="3"/>
      <c r="H2307" s="3"/>
      <c r="I2307" s="3"/>
      <c r="J2307" s="3"/>
      <c r="K2307" s="3"/>
      <c r="L2307" s="3"/>
      <c r="N2307" s="10"/>
      <c r="O2307" s="3"/>
      <c r="P2307" s="3"/>
      <c r="Q2307" s="3"/>
    </row>
    <row r="2308" spans="5:17" x14ac:dyDescent="0.25">
      <c r="E2308" s="2"/>
      <c r="G2308" s="3"/>
      <c r="H2308" s="3"/>
      <c r="I2308" s="3"/>
      <c r="J2308" s="3"/>
      <c r="K2308" s="3"/>
      <c r="L2308" s="3"/>
      <c r="N2308" s="10"/>
      <c r="O2308" s="3"/>
      <c r="P2308" s="3"/>
      <c r="Q2308" s="3"/>
    </row>
    <row r="2309" spans="5:17" x14ac:dyDescent="0.25">
      <c r="E2309" s="2"/>
      <c r="G2309" s="3"/>
      <c r="H2309" s="3"/>
      <c r="I2309" s="3"/>
      <c r="J2309" s="3"/>
      <c r="K2309" s="3"/>
      <c r="L2309" s="3"/>
      <c r="N2309" s="10"/>
      <c r="O2309" s="3"/>
      <c r="P2309" s="3"/>
      <c r="Q2309" s="3"/>
    </row>
    <row r="2310" spans="5:17" x14ac:dyDescent="0.25">
      <c r="E2310" s="2"/>
      <c r="G2310" s="3"/>
      <c r="H2310" s="3"/>
      <c r="I2310" s="3"/>
      <c r="J2310" s="3"/>
      <c r="K2310" s="3"/>
      <c r="L2310" s="3"/>
      <c r="N2310" s="10"/>
      <c r="O2310" s="3"/>
      <c r="P2310" s="3"/>
      <c r="Q2310" s="3"/>
    </row>
    <row r="2311" spans="5:17" x14ac:dyDescent="0.25">
      <c r="E2311" s="2"/>
      <c r="G2311" s="3"/>
      <c r="H2311" s="3"/>
      <c r="I2311" s="3"/>
      <c r="J2311" s="3"/>
      <c r="K2311" s="3"/>
      <c r="L2311" s="3"/>
      <c r="N2311" s="10"/>
      <c r="O2311" s="3"/>
      <c r="P2311" s="3"/>
      <c r="Q2311" s="3"/>
    </row>
    <row r="2312" spans="5:17" x14ac:dyDescent="0.25">
      <c r="E2312" s="2"/>
      <c r="G2312" s="3"/>
      <c r="H2312" s="3"/>
      <c r="I2312" s="3"/>
      <c r="J2312" s="3"/>
      <c r="K2312" s="3"/>
      <c r="L2312" s="3"/>
      <c r="N2312" s="10"/>
      <c r="O2312" s="3"/>
      <c r="P2312" s="3"/>
      <c r="Q2312" s="3"/>
    </row>
    <row r="2313" spans="5:17" x14ac:dyDescent="0.25">
      <c r="E2313" s="2"/>
      <c r="G2313" s="3"/>
      <c r="H2313" s="3"/>
      <c r="I2313" s="3"/>
      <c r="J2313" s="3"/>
      <c r="K2313" s="3"/>
      <c r="L2313" s="3"/>
      <c r="N2313" s="10"/>
      <c r="O2313" s="3"/>
      <c r="P2313" s="3"/>
      <c r="Q2313" s="3"/>
    </row>
    <row r="2314" spans="5:17" x14ac:dyDescent="0.25">
      <c r="E2314" s="2"/>
      <c r="G2314" s="3"/>
      <c r="H2314" s="3"/>
      <c r="I2314" s="3"/>
      <c r="J2314" s="3"/>
      <c r="K2314" s="3"/>
      <c r="L2314" s="3"/>
      <c r="N2314" s="10"/>
      <c r="O2314" s="3"/>
      <c r="P2314" s="3"/>
      <c r="Q2314" s="3"/>
    </row>
    <row r="2315" spans="5:17" x14ac:dyDescent="0.25">
      <c r="E2315" s="2"/>
      <c r="G2315" s="3"/>
      <c r="H2315" s="3"/>
      <c r="I2315" s="3"/>
      <c r="J2315" s="3"/>
      <c r="K2315" s="3"/>
      <c r="L2315" s="3"/>
      <c r="N2315" s="10"/>
      <c r="O2315" s="3"/>
      <c r="P2315" s="3"/>
      <c r="Q2315" s="3"/>
    </row>
    <row r="2316" spans="5:17" x14ac:dyDescent="0.25">
      <c r="E2316" s="2"/>
      <c r="G2316" s="3"/>
      <c r="H2316" s="3"/>
      <c r="I2316" s="3"/>
      <c r="J2316" s="3"/>
      <c r="K2316" s="3"/>
      <c r="L2316" s="3"/>
      <c r="N2316" s="10"/>
      <c r="O2316" s="3"/>
      <c r="P2316" s="3"/>
      <c r="Q2316" s="3"/>
    </row>
    <row r="2317" spans="5:17" x14ac:dyDescent="0.25">
      <c r="E2317" s="2"/>
      <c r="G2317" s="3"/>
      <c r="H2317" s="3"/>
      <c r="I2317" s="3"/>
      <c r="J2317" s="3"/>
      <c r="K2317" s="3"/>
      <c r="L2317" s="3"/>
      <c r="N2317" s="10"/>
      <c r="O2317" s="3"/>
      <c r="P2317" s="3"/>
      <c r="Q2317" s="3"/>
    </row>
    <row r="2318" spans="5:17" x14ac:dyDescent="0.25">
      <c r="E2318" s="2"/>
      <c r="G2318" s="3"/>
      <c r="H2318" s="3"/>
      <c r="I2318" s="3"/>
      <c r="J2318" s="3"/>
      <c r="K2318" s="3"/>
      <c r="L2318" s="3"/>
      <c r="N2318" s="10"/>
      <c r="O2318" s="3"/>
      <c r="P2318" s="3"/>
      <c r="Q2318" s="3"/>
    </row>
    <row r="2319" spans="5:17" x14ac:dyDescent="0.25">
      <c r="E2319" s="2"/>
      <c r="G2319" s="3"/>
      <c r="H2319" s="3"/>
      <c r="I2319" s="3"/>
      <c r="J2319" s="3"/>
      <c r="K2319" s="3"/>
      <c r="L2319" s="3"/>
      <c r="N2319" s="10"/>
      <c r="O2319" s="3"/>
      <c r="P2319" s="3"/>
      <c r="Q2319" s="3"/>
    </row>
    <row r="2320" spans="5:17" x14ac:dyDescent="0.25">
      <c r="E2320" s="2"/>
      <c r="G2320" s="3"/>
      <c r="H2320" s="3"/>
      <c r="I2320" s="3"/>
      <c r="J2320" s="3"/>
      <c r="K2320" s="3"/>
      <c r="L2320" s="3"/>
      <c r="N2320" s="10"/>
      <c r="O2320" s="3"/>
      <c r="P2320" s="3"/>
      <c r="Q2320" s="3"/>
    </row>
    <row r="2321" spans="5:17" x14ac:dyDescent="0.25">
      <c r="E2321" s="2"/>
      <c r="G2321" s="3"/>
      <c r="H2321" s="3"/>
      <c r="I2321" s="3"/>
      <c r="J2321" s="3"/>
      <c r="K2321" s="3"/>
      <c r="L2321" s="3"/>
      <c r="N2321" s="10"/>
      <c r="O2321" s="3"/>
      <c r="P2321" s="3"/>
      <c r="Q2321" s="3"/>
    </row>
    <row r="2322" spans="5:17" x14ac:dyDescent="0.25">
      <c r="E2322" s="2"/>
      <c r="G2322" s="3"/>
      <c r="H2322" s="3"/>
      <c r="I2322" s="3"/>
      <c r="J2322" s="3"/>
      <c r="K2322" s="3"/>
      <c r="L2322" s="3"/>
      <c r="N2322" s="10"/>
      <c r="O2322" s="3"/>
      <c r="P2322" s="3"/>
      <c r="Q2322" s="3"/>
    </row>
    <row r="2323" spans="5:17" x14ac:dyDescent="0.25">
      <c r="E2323" s="2"/>
      <c r="G2323" s="3"/>
      <c r="H2323" s="3"/>
      <c r="I2323" s="3"/>
      <c r="J2323" s="3"/>
      <c r="K2323" s="3"/>
      <c r="L2323" s="3"/>
      <c r="N2323" s="10"/>
      <c r="O2323" s="3"/>
      <c r="P2323" s="3"/>
      <c r="Q2323" s="3"/>
    </row>
    <row r="2324" spans="5:17" x14ac:dyDescent="0.25">
      <c r="E2324" s="2"/>
      <c r="G2324" s="3"/>
      <c r="H2324" s="3"/>
      <c r="I2324" s="3"/>
      <c r="J2324" s="3"/>
      <c r="K2324" s="3"/>
      <c r="L2324" s="3"/>
      <c r="N2324" s="10"/>
      <c r="O2324" s="3"/>
      <c r="P2324" s="3"/>
      <c r="Q2324" s="3"/>
    </row>
    <row r="2325" spans="5:17" x14ac:dyDescent="0.25">
      <c r="E2325" s="2"/>
      <c r="G2325" s="3"/>
      <c r="H2325" s="3"/>
      <c r="I2325" s="3"/>
      <c r="J2325" s="3"/>
      <c r="K2325" s="3"/>
      <c r="L2325" s="3"/>
      <c r="N2325" s="10"/>
      <c r="O2325" s="3"/>
      <c r="P2325" s="3"/>
      <c r="Q2325" s="3"/>
    </row>
    <row r="2326" spans="5:17" x14ac:dyDescent="0.25">
      <c r="E2326" s="2"/>
      <c r="G2326" s="3"/>
      <c r="H2326" s="3"/>
      <c r="I2326" s="3"/>
      <c r="J2326" s="3"/>
      <c r="K2326" s="3"/>
      <c r="L2326" s="3"/>
      <c r="N2326" s="10"/>
      <c r="O2326" s="3"/>
      <c r="P2326" s="3"/>
      <c r="Q2326" s="3"/>
    </row>
    <row r="2327" spans="5:17" x14ac:dyDescent="0.25">
      <c r="E2327" s="2"/>
      <c r="G2327" s="3"/>
      <c r="H2327" s="3"/>
      <c r="I2327" s="3"/>
      <c r="J2327" s="3"/>
      <c r="K2327" s="3"/>
      <c r="L2327" s="3"/>
      <c r="N2327" s="10"/>
      <c r="O2327" s="3"/>
      <c r="P2327" s="3"/>
      <c r="Q2327" s="3"/>
    </row>
    <row r="2328" spans="5:17" x14ac:dyDescent="0.25">
      <c r="E2328" s="2"/>
      <c r="G2328" s="3"/>
      <c r="H2328" s="3"/>
      <c r="I2328" s="3"/>
      <c r="J2328" s="3"/>
      <c r="K2328" s="3"/>
      <c r="L2328" s="3"/>
      <c r="N2328" s="10"/>
      <c r="O2328" s="3"/>
      <c r="P2328" s="3"/>
      <c r="Q2328" s="3"/>
    </row>
    <row r="2329" spans="5:17" x14ac:dyDescent="0.25">
      <c r="E2329" s="2"/>
      <c r="G2329" s="3"/>
      <c r="H2329" s="3"/>
      <c r="I2329" s="3"/>
      <c r="J2329" s="3"/>
      <c r="K2329" s="3"/>
      <c r="L2329" s="3"/>
      <c r="N2329" s="10"/>
      <c r="O2329" s="3"/>
      <c r="P2329" s="3"/>
      <c r="Q2329" s="3"/>
    </row>
    <row r="2330" spans="5:17" x14ac:dyDescent="0.25">
      <c r="E2330" s="2"/>
      <c r="G2330" s="3"/>
      <c r="H2330" s="3"/>
      <c r="I2330" s="3"/>
      <c r="J2330" s="3"/>
      <c r="K2330" s="3"/>
      <c r="L2330" s="3"/>
      <c r="N2330" s="10"/>
      <c r="O2330" s="3"/>
      <c r="P2330" s="3"/>
      <c r="Q2330" s="3"/>
    </row>
    <row r="2331" spans="5:17" x14ac:dyDescent="0.25">
      <c r="E2331" s="2"/>
      <c r="G2331" s="3"/>
      <c r="H2331" s="3"/>
      <c r="I2331" s="3"/>
      <c r="J2331" s="3"/>
      <c r="K2331" s="3"/>
      <c r="L2331" s="3"/>
      <c r="N2331" s="10"/>
      <c r="O2331" s="3"/>
      <c r="P2331" s="3"/>
      <c r="Q2331" s="3"/>
    </row>
    <row r="2332" spans="5:17" x14ac:dyDescent="0.25">
      <c r="E2332" s="2"/>
      <c r="G2332" s="3"/>
      <c r="H2332" s="3"/>
      <c r="I2332" s="3"/>
      <c r="J2332" s="3"/>
      <c r="K2332" s="3"/>
      <c r="L2332" s="3"/>
      <c r="N2332" s="10"/>
      <c r="O2332" s="3"/>
      <c r="P2332" s="3"/>
      <c r="Q2332" s="3"/>
    </row>
    <row r="2333" spans="5:17" x14ac:dyDescent="0.25">
      <c r="E2333" s="2"/>
      <c r="G2333" s="3"/>
      <c r="H2333" s="3"/>
      <c r="I2333" s="3"/>
      <c r="J2333" s="3"/>
      <c r="K2333" s="3"/>
      <c r="L2333" s="3"/>
      <c r="N2333" s="10"/>
      <c r="O2333" s="3"/>
      <c r="P2333" s="3"/>
      <c r="Q2333" s="3"/>
    </row>
    <row r="2334" spans="5:17" x14ac:dyDescent="0.25">
      <c r="E2334" s="2"/>
      <c r="G2334" s="3"/>
      <c r="H2334" s="3"/>
      <c r="I2334" s="3"/>
      <c r="J2334" s="3"/>
      <c r="K2334" s="3"/>
      <c r="L2334" s="3"/>
      <c r="N2334" s="10"/>
      <c r="O2334" s="3"/>
      <c r="P2334" s="3"/>
      <c r="Q2334" s="3"/>
    </row>
    <row r="2335" spans="5:17" x14ac:dyDescent="0.25">
      <c r="E2335" s="2"/>
      <c r="G2335" s="3"/>
      <c r="H2335" s="3"/>
      <c r="I2335" s="3"/>
      <c r="J2335" s="3"/>
      <c r="K2335" s="3"/>
      <c r="L2335" s="3"/>
      <c r="N2335" s="10"/>
      <c r="O2335" s="3"/>
      <c r="P2335" s="3"/>
      <c r="Q2335" s="3"/>
    </row>
    <row r="2336" spans="5:17" x14ac:dyDescent="0.25">
      <c r="E2336" s="2"/>
      <c r="G2336" s="3"/>
      <c r="H2336" s="3"/>
      <c r="I2336" s="3"/>
      <c r="J2336" s="3"/>
      <c r="K2336" s="3"/>
      <c r="L2336" s="3"/>
      <c r="N2336" s="10"/>
      <c r="O2336" s="3"/>
      <c r="P2336" s="3"/>
      <c r="Q2336" s="3"/>
    </row>
    <row r="2337" spans="5:17" x14ac:dyDescent="0.25">
      <c r="E2337" s="2"/>
      <c r="G2337" s="3"/>
      <c r="H2337" s="3"/>
      <c r="I2337" s="3"/>
      <c r="J2337" s="3"/>
      <c r="K2337" s="3"/>
      <c r="L2337" s="3"/>
      <c r="N2337" s="10"/>
      <c r="O2337" s="3"/>
      <c r="P2337" s="3"/>
      <c r="Q2337" s="3"/>
    </row>
    <row r="2338" spans="5:17" x14ac:dyDescent="0.25">
      <c r="E2338" s="2"/>
      <c r="G2338" s="3"/>
      <c r="H2338" s="3"/>
      <c r="I2338" s="3"/>
      <c r="J2338" s="3"/>
      <c r="K2338" s="3"/>
      <c r="L2338" s="3"/>
      <c r="N2338" s="10"/>
      <c r="O2338" s="3"/>
      <c r="P2338" s="3"/>
      <c r="Q2338" s="3"/>
    </row>
    <row r="2339" spans="5:17" x14ac:dyDescent="0.25">
      <c r="E2339" s="2"/>
      <c r="G2339" s="3"/>
      <c r="H2339" s="3"/>
      <c r="I2339" s="3"/>
      <c r="J2339" s="3"/>
      <c r="K2339" s="3"/>
      <c r="L2339" s="3"/>
      <c r="N2339" s="10"/>
      <c r="O2339" s="3"/>
      <c r="P2339" s="3"/>
      <c r="Q2339" s="3"/>
    </row>
    <row r="2340" spans="5:17" x14ac:dyDescent="0.25">
      <c r="E2340" s="2"/>
      <c r="G2340" s="3"/>
      <c r="H2340" s="3"/>
      <c r="I2340" s="3"/>
      <c r="J2340" s="3"/>
      <c r="K2340" s="3"/>
      <c r="L2340" s="3"/>
      <c r="N2340" s="10"/>
      <c r="O2340" s="3"/>
      <c r="P2340" s="3"/>
      <c r="Q2340" s="3"/>
    </row>
    <row r="2341" spans="5:17" x14ac:dyDescent="0.25">
      <c r="E2341" s="2"/>
      <c r="G2341" s="3"/>
      <c r="H2341" s="3"/>
      <c r="I2341" s="3"/>
      <c r="J2341" s="3"/>
      <c r="K2341" s="3"/>
      <c r="L2341" s="3"/>
      <c r="N2341" s="10"/>
      <c r="O2341" s="3"/>
      <c r="P2341" s="3"/>
      <c r="Q2341" s="3"/>
    </row>
    <row r="2342" spans="5:17" x14ac:dyDescent="0.25">
      <c r="E2342" s="2"/>
      <c r="G2342" s="3"/>
      <c r="H2342" s="3"/>
      <c r="I2342" s="3"/>
      <c r="J2342" s="3"/>
      <c r="K2342" s="3"/>
      <c r="L2342" s="3"/>
      <c r="N2342" s="10"/>
      <c r="O2342" s="3"/>
      <c r="P2342" s="3"/>
      <c r="Q2342" s="3"/>
    </row>
    <row r="2343" spans="5:17" x14ac:dyDescent="0.25">
      <c r="E2343" s="2"/>
      <c r="G2343" s="3"/>
      <c r="H2343" s="3"/>
      <c r="I2343" s="3"/>
      <c r="J2343" s="3"/>
      <c r="K2343" s="3"/>
      <c r="L2343" s="3"/>
      <c r="N2343" s="10"/>
      <c r="O2343" s="3"/>
      <c r="P2343" s="3"/>
      <c r="Q2343" s="3"/>
    </row>
    <row r="2344" spans="5:17" x14ac:dyDescent="0.25">
      <c r="E2344" s="2"/>
      <c r="G2344" s="3"/>
      <c r="H2344" s="3"/>
      <c r="I2344" s="3"/>
      <c r="J2344" s="3"/>
      <c r="K2344" s="3"/>
      <c r="L2344" s="3"/>
      <c r="N2344" s="10"/>
      <c r="O2344" s="3"/>
      <c r="P2344" s="3"/>
      <c r="Q2344" s="3"/>
    </row>
    <row r="2345" spans="5:17" x14ac:dyDescent="0.25">
      <c r="E2345" s="2"/>
      <c r="G2345" s="3"/>
      <c r="H2345" s="3"/>
      <c r="I2345" s="3"/>
      <c r="J2345" s="3"/>
      <c r="K2345" s="3"/>
      <c r="L2345" s="3"/>
      <c r="N2345" s="10"/>
      <c r="O2345" s="3"/>
      <c r="P2345" s="3"/>
      <c r="Q2345" s="3"/>
    </row>
    <row r="2346" spans="5:17" x14ac:dyDescent="0.25">
      <c r="E2346" s="2"/>
      <c r="G2346" s="3"/>
      <c r="H2346" s="3"/>
      <c r="I2346" s="3"/>
      <c r="J2346" s="3"/>
      <c r="K2346" s="3"/>
      <c r="L2346" s="3"/>
      <c r="N2346" s="10"/>
      <c r="O2346" s="3"/>
      <c r="P2346" s="3"/>
      <c r="Q2346" s="3"/>
    </row>
    <row r="2347" spans="5:17" x14ac:dyDescent="0.25">
      <c r="E2347" s="2"/>
      <c r="G2347" s="3"/>
      <c r="H2347" s="3"/>
      <c r="I2347" s="3"/>
      <c r="J2347" s="3"/>
      <c r="K2347" s="3"/>
      <c r="L2347" s="3"/>
      <c r="N2347" s="10"/>
      <c r="O2347" s="3"/>
      <c r="P2347" s="3"/>
      <c r="Q2347" s="3"/>
    </row>
    <row r="2348" spans="5:17" x14ac:dyDescent="0.25">
      <c r="E2348" s="2"/>
      <c r="G2348" s="3"/>
      <c r="H2348" s="3"/>
      <c r="I2348" s="3"/>
      <c r="J2348" s="3"/>
      <c r="K2348" s="3"/>
      <c r="L2348" s="3"/>
      <c r="N2348" s="10"/>
      <c r="O2348" s="3"/>
      <c r="P2348" s="3"/>
      <c r="Q2348" s="3"/>
    </row>
    <row r="2349" spans="5:17" x14ac:dyDescent="0.25">
      <c r="E2349" s="2"/>
      <c r="G2349" s="3"/>
      <c r="H2349" s="3"/>
      <c r="I2349" s="3"/>
      <c r="J2349" s="3"/>
      <c r="K2349" s="3"/>
      <c r="L2349" s="3"/>
      <c r="N2349" s="10"/>
      <c r="O2349" s="3"/>
      <c r="P2349" s="3"/>
      <c r="Q2349" s="3"/>
    </row>
    <row r="2350" spans="5:17" x14ac:dyDescent="0.25">
      <c r="E2350" s="2"/>
      <c r="G2350" s="3"/>
      <c r="H2350" s="3"/>
      <c r="I2350" s="3"/>
      <c r="J2350" s="3"/>
      <c r="K2350" s="3"/>
      <c r="L2350" s="3"/>
      <c r="N2350" s="10"/>
      <c r="O2350" s="3"/>
      <c r="P2350" s="3"/>
      <c r="Q2350" s="3"/>
    </row>
    <row r="2351" spans="5:17" x14ac:dyDescent="0.25">
      <c r="E2351" s="2"/>
      <c r="G2351" s="3"/>
      <c r="H2351" s="3"/>
      <c r="I2351" s="3"/>
      <c r="J2351" s="3"/>
      <c r="K2351" s="3"/>
      <c r="L2351" s="3"/>
      <c r="N2351" s="10"/>
      <c r="O2351" s="3"/>
      <c r="P2351" s="3"/>
      <c r="Q2351" s="3"/>
    </row>
    <row r="2352" spans="5:17" x14ac:dyDescent="0.25">
      <c r="E2352" s="2"/>
      <c r="G2352" s="3"/>
      <c r="H2352" s="3"/>
      <c r="I2352" s="3"/>
      <c r="J2352" s="3"/>
      <c r="K2352" s="3"/>
      <c r="L2352" s="3"/>
      <c r="N2352" s="10"/>
      <c r="O2352" s="3"/>
      <c r="P2352" s="3"/>
      <c r="Q2352" s="3"/>
    </row>
    <row r="2353" spans="5:17" x14ac:dyDescent="0.25">
      <c r="E2353" s="2"/>
      <c r="G2353" s="3"/>
      <c r="H2353" s="3"/>
      <c r="I2353" s="3"/>
      <c r="J2353" s="3"/>
      <c r="K2353" s="3"/>
      <c r="L2353" s="3"/>
      <c r="N2353" s="10"/>
      <c r="O2353" s="3"/>
      <c r="P2353" s="3"/>
      <c r="Q2353" s="3"/>
    </row>
    <row r="2354" spans="5:17" x14ac:dyDescent="0.25">
      <c r="E2354" s="2"/>
      <c r="G2354" s="3"/>
      <c r="H2354" s="3"/>
      <c r="I2354" s="3"/>
      <c r="J2354" s="3"/>
      <c r="K2354" s="3"/>
      <c r="L2354" s="3"/>
      <c r="N2354" s="10"/>
      <c r="O2354" s="3"/>
      <c r="P2354" s="3"/>
      <c r="Q2354" s="3"/>
    </row>
    <row r="2355" spans="5:17" x14ac:dyDescent="0.25">
      <c r="E2355" s="2"/>
      <c r="G2355" s="3"/>
      <c r="H2355" s="3"/>
      <c r="I2355" s="3"/>
      <c r="J2355" s="3"/>
      <c r="K2355" s="3"/>
      <c r="L2355" s="3"/>
      <c r="N2355" s="10"/>
      <c r="O2355" s="3"/>
      <c r="P2355" s="3"/>
      <c r="Q2355" s="3"/>
    </row>
    <row r="2356" spans="5:17" x14ac:dyDescent="0.25">
      <c r="E2356" s="2"/>
      <c r="G2356" s="3"/>
      <c r="H2356" s="3"/>
      <c r="I2356" s="3"/>
      <c r="J2356" s="3"/>
      <c r="K2356" s="3"/>
      <c r="L2356" s="3"/>
      <c r="N2356" s="10"/>
      <c r="O2356" s="3"/>
      <c r="P2356" s="3"/>
      <c r="Q2356" s="3"/>
    </row>
    <row r="2357" spans="5:17" x14ac:dyDescent="0.25">
      <c r="E2357" s="2"/>
      <c r="G2357" s="3"/>
      <c r="H2357" s="3"/>
      <c r="I2357" s="3"/>
      <c r="J2357" s="3"/>
      <c r="K2357" s="3"/>
      <c r="L2357" s="3"/>
      <c r="N2357" s="10"/>
      <c r="O2357" s="3"/>
      <c r="P2357" s="3"/>
      <c r="Q2357" s="3"/>
    </row>
    <row r="2358" spans="5:17" x14ac:dyDescent="0.25">
      <c r="E2358" s="2"/>
      <c r="G2358" s="3"/>
      <c r="H2358" s="3"/>
      <c r="I2358" s="3"/>
      <c r="J2358" s="3"/>
      <c r="K2358" s="3"/>
      <c r="L2358" s="3"/>
      <c r="N2358" s="10"/>
      <c r="O2358" s="3"/>
      <c r="P2358" s="3"/>
      <c r="Q2358" s="3"/>
    </row>
    <row r="2359" spans="5:17" x14ac:dyDescent="0.25">
      <c r="E2359" s="2"/>
      <c r="G2359" s="3"/>
      <c r="H2359" s="3"/>
      <c r="I2359" s="3"/>
      <c r="J2359" s="3"/>
      <c r="K2359" s="3"/>
      <c r="L2359" s="3"/>
      <c r="N2359" s="10"/>
      <c r="O2359" s="3"/>
      <c r="P2359" s="3"/>
      <c r="Q2359" s="3"/>
    </row>
    <row r="2360" spans="5:17" x14ac:dyDescent="0.25">
      <c r="E2360" s="2"/>
      <c r="G2360" s="3"/>
      <c r="H2360" s="3"/>
      <c r="I2360" s="3"/>
      <c r="J2360" s="3"/>
      <c r="K2360" s="3"/>
      <c r="L2360" s="3"/>
      <c r="N2360" s="10"/>
      <c r="O2360" s="3"/>
      <c r="P2360" s="3"/>
      <c r="Q2360" s="3"/>
    </row>
    <row r="2361" spans="5:17" x14ac:dyDescent="0.25">
      <c r="E2361" s="2"/>
      <c r="G2361" s="3"/>
      <c r="H2361" s="3"/>
      <c r="I2361" s="3"/>
      <c r="J2361" s="3"/>
      <c r="K2361" s="3"/>
      <c r="L2361" s="3"/>
      <c r="N2361" s="10"/>
      <c r="O2361" s="3"/>
      <c r="P2361" s="3"/>
      <c r="Q2361" s="3"/>
    </row>
    <row r="2362" spans="5:17" x14ac:dyDescent="0.25">
      <c r="E2362" s="2"/>
      <c r="G2362" s="3"/>
      <c r="H2362" s="3"/>
      <c r="I2362" s="3"/>
      <c r="J2362" s="3"/>
      <c r="K2362" s="3"/>
      <c r="L2362" s="3"/>
      <c r="N2362" s="10"/>
      <c r="O2362" s="3"/>
      <c r="P2362" s="3"/>
      <c r="Q2362" s="3"/>
    </row>
    <row r="2363" spans="5:17" x14ac:dyDescent="0.25">
      <c r="E2363" s="2"/>
      <c r="G2363" s="3"/>
      <c r="H2363" s="3"/>
      <c r="I2363" s="3"/>
      <c r="J2363" s="3"/>
      <c r="K2363" s="3"/>
      <c r="L2363" s="3"/>
      <c r="N2363" s="10"/>
      <c r="O2363" s="3"/>
      <c r="P2363" s="3"/>
      <c r="Q2363" s="3"/>
    </row>
    <row r="2364" spans="5:17" x14ac:dyDescent="0.25">
      <c r="E2364" s="2"/>
      <c r="G2364" s="3"/>
      <c r="H2364" s="3"/>
      <c r="I2364" s="3"/>
      <c r="J2364" s="3"/>
      <c r="K2364" s="3"/>
      <c r="L2364" s="3"/>
      <c r="N2364" s="10"/>
      <c r="O2364" s="3"/>
      <c r="P2364" s="3"/>
      <c r="Q2364" s="3"/>
    </row>
    <row r="2365" spans="5:17" x14ac:dyDescent="0.25">
      <c r="E2365" s="2"/>
      <c r="G2365" s="3"/>
      <c r="H2365" s="3"/>
      <c r="I2365" s="3"/>
      <c r="J2365" s="3"/>
      <c r="K2365" s="3"/>
      <c r="L2365" s="3"/>
      <c r="N2365" s="10"/>
      <c r="O2365" s="3"/>
      <c r="P2365" s="3"/>
      <c r="Q2365" s="3"/>
    </row>
    <row r="2366" spans="5:17" x14ac:dyDescent="0.25">
      <c r="E2366" s="2"/>
      <c r="G2366" s="3"/>
      <c r="H2366" s="3"/>
      <c r="I2366" s="3"/>
      <c r="J2366" s="3"/>
      <c r="K2366" s="3"/>
      <c r="L2366" s="3"/>
      <c r="N2366" s="10"/>
      <c r="O2366" s="3"/>
      <c r="P2366" s="3"/>
      <c r="Q2366" s="3"/>
    </row>
    <row r="2367" spans="5:17" x14ac:dyDescent="0.25">
      <c r="E2367" s="2"/>
      <c r="G2367" s="3"/>
      <c r="H2367" s="3"/>
      <c r="I2367" s="3"/>
      <c r="J2367" s="3"/>
      <c r="K2367" s="3"/>
      <c r="L2367" s="3"/>
      <c r="N2367" s="10"/>
      <c r="O2367" s="3"/>
      <c r="P2367" s="3"/>
      <c r="Q2367" s="3"/>
    </row>
    <row r="2368" spans="5:17" x14ac:dyDescent="0.25">
      <c r="E2368" s="2"/>
      <c r="G2368" s="3"/>
      <c r="H2368" s="3"/>
      <c r="I2368" s="3"/>
      <c r="J2368" s="3"/>
      <c r="K2368" s="3"/>
      <c r="L2368" s="3"/>
      <c r="N2368" s="10"/>
      <c r="O2368" s="3"/>
      <c r="P2368" s="3"/>
      <c r="Q2368" s="3"/>
    </row>
    <row r="2369" spans="5:17" x14ac:dyDescent="0.25">
      <c r="E2369" s="2"/>
      <c r="G2369" s="3"/>
      <c r="H2369" s="3"/>
      <c r="I2369" s="3"/>
      <c r="J2369" s="3"/>
      <c r="K2369" s="3"/>
      <c r="L2369" s="3"/>
      <c r="N2369" s="10"/>
      <c r="O2369" s="3"/>
      <c r="P2369" s="3"/>
      <c r="Q2369" s="3"/>
    </row>
    <row r="2370" spans="5:17" x14ac:dyDescent="0.25">
      <c r="E2370" s="2"/>
      <c r="G2370" s="3"/>
      <c r="H2370" s="3"/>
      <c r="I2370" s="3"/>
      <c r="J2370" s="3"/>
      <c r="K2370" s="3"/>
      <c r="L2370" s="3"/>
      <c r="N2370" s="10"/>
      <c r="O2370" s="3"/>
      <c r="P2370" s="3"/>
      <c r="Q2370" s="3"/>
    </row>
    <row r="2371" spans="5:17" x14ac:dyDescent="0.25">
      <c r="E2371" s="2"/>
      <c r="G2371" s="3"/>
      <c r="H2371" s="3"/>
      <c r="I2371" s="3"/>
      <c r="J2371" s="3"/>
      <c r="K2371" s="3"/>
      <c r="L2371" s="3"/>
      <c r="N2371" s="10"/>
      <c r="O2371" s="3"/>
      <c r="P2371" s="3"/>
      <c r="Q2371" s="3"/>
    </row>
    <row r="2372" spans="5:17" x14ac:dyDescent="0.25">
      <c r="E2372" s="2"/>
      <c r="G2372" s="3"/>
      <c r="H2372" s="3"/>
      <c r="I2372" s="3"/>
      <c r="J2372" s="3"/>
      <c r="K2372" s="3"/>
      <c r="L2372" s="3"/>
      <c r="N2372" s="10"/>
      <c r="O2372" s="3"/>
      <c r="P2372" s="3"/>
      <c r="Q2372" s="3"/>
    </row>
    <row r="2373" spans="5:17" x14ac:dyDescent="0.25">
      <c r="E2373" s="2"/>
      <c r="G2373" s="3"/>
      <c r="H2373" s="3"/>
      <c r="I2373" s="3"/>
      <c r="J2373" s="3"/>
      <c r="K2373" s="3"/>
      <c r="L2373" s="3"/>
      <c r="N2373" s="10"/>
      <c r="O2373" s="3"/>
      <c r="P2373" s="3"/>
      <c r="Q2373" s="3"/>
    </row>
    <row r="2374" spans="5:17" x14ac:dyDescent="0.25">
      <c r="E2374" s="2"/>
      <c r="G2374" s="3"/>
      <c r="H2374" s="3"/>
      <c r="I2374" s="3"/>
      <c r="J2374" s="3"/>
      <c r="K2374" s="3"/>
      <c r="L2374" s="3"/>
      <c r="N2374" s="10"/>
      <c r="O2374" s="3"/>
      <c r="P2374" s="3"/>
      <c r="Q2374" s="3"/>
    </row>
    <row r="2375" spans="5:17" x14ac:dyDescent="0.25">
      <c r="E2375" s="2"/>
      <c r="G2375" s="3"/>
      <c r="H2375" s="3"/>
      <c r="I2375" s="3"/>
      <c r="J2375" s="3"/>
      <c r="K2375" s="3"/>
      <c r="L2375" s="3"/>
      <c r="N2375" s="10"/>
      <c r="O2375" s="3"/>
      <c r="P2375" s="3"/>
      <c r="Q2375" s="3"/>
    </row>
    <row r="2376" spans="5:17" x14ac:dyDescent="0.25">
      <c r="E2376" s="2"/>
      <c r="G2376" s="3"/>
      <c r="H2376" s="3"/>
      <c r="I2376" s="3"/>
      <c r="J2376" s="3"/>
      <c r="K2376" s="3"/>
      <c r="L2376" s="3"/>
      <c r="N2376" s="10"/>
      <c r="O2376" s="3"/>
      <c r="P2376" s="3"/>
      <c r="Q2376" s="3"/>
    </row>
    <row r="2377" spans="5:17" x14ac:dyDescent="0.25">
      <c r="E2377" s="2"/>
      <c r="G2377" s="3"/>
      <c r="H2377" s="3"/>
      <c r="I2377" s="3"/>
      <c r="J2377" s="3"/>
      <c r="K2377" s="3"/>
      <c r="L2377" s="3"/>
      <c r="N2377" s="10"/>
      <c r="O2377" s="3"/>
      <c r="P2377" s="3"/>
      <c r="Q2377" s="3"/>
    </row>
    <row r="2378" spans="5:17" x14ac:dyDescent="0.25">
      <c r="E2378" s="2"/>
      <c r="G2378" s="3"/>
      <c r="H2378" s="3"/>
      <c r="I2378" s="3"/>
      <c r="J2378" s="3"/>
      <c r="K2378" s="3"/>
      <c r="L2378" s="3"/>
      <c r="N2378" s="10"/>
      <c r="O2378" s="3"/>
      <c r="P2378" s="3"/>
      <c r="Q2378" s="3"/>
    </row>
    <row r="2379" spans="5:17" x14ac:dyDescent="0.25">
      <c r="E2379" s="2"/>
      <c r="G2379" s="3"/>
      <c r="H2379" s="3"/>
      <c r="I2379" s="3"/>
      <c r="J2379" s="3"/>
      <c r="K2379" s="3"/>
      <c r="L2379" s="3"/>
      <c r="N2379" s="10"/>
      <c r="O2379" s="3"/>
      <c r="P2379" s="3"/>
      <c r="Q2379" s="3"/>
    </row>
    <row r="2380" spans="5:17" x14ac:dyDescent="0.25">
      <c r="E2380" s="2"/>
      <c r="G2380" s="3"/>
      <c r="H2380" s="3"/>
      <c r="I2380" s="3"/>
      <c r="J2380" s="3"/>
      <c r="K2380" s="3"/>
      <c r="L2380" s="3"/>
      <c r="N2380" s="10"/>
      <c r="O2380" s="3"/>
      <c r="P2380" s="3"/>
      <c r="Q2380" s="3"/>
    </row>
    <row r="2381" spans="5:17" x14ac:dyDescent="0.25">
      <c r="E2381" s="2"/>
      <c r="G2381" s="3"/>
      <c r="H2381" s="3"/>
      <c r="I2381" s="3"/>
      <c r="J2381" s="3"/>
      <c r="K2381" s="3"/>
      <c r="L2381" s="3"/>
      <c r="N2381" s="10"/>
      <c r="O2381" s="3"/>
      <c r="P2381" s="3"/>
      <c r="Q2381" s="3"/>
    </row>
    <row r="2382" spans="5:17" x14ac:dyDescent="0.25">
      <c r="E2382" s="2"/>
      <c r="G2382" s="3"/>
      <c r="H2382" s="3"/>
      <c r="I2382" s="3"/>
      <c r="J2382" s="3"/>
      <c r="K2382" s="3"/>
      <c r="L2382" s="3"/>
      <c r="N2382" s="10"/>
      <c r="O2382" s="3"/>
      <c r="P2382" s="3"/>
      <c r="Q2382" s="3"/>
    </row>
    <row r="2383" spans="5:17" x14ac:dyDescent="0.25">
      <c r="E2383" s="2"/>
      <c r="G2383" s="3"/>
      <c r="H2383" s="3"/>
      <c r="I2383" s="3"/>
      <c r="J2383" s="3"/>
      <c r="K2383" s="3"/>
      <c r="L2383" s="3"/>
      <c r="N2383" s="10"/>
      <c r="O2383" s="3"/>
      <c r="P2383" s="3"/>
      <c r="Q2383" s="3"/>
    </row>
    <row r="2384" spans="5:17" x14ac:dyDescent="0.25">
      <c r="E2384" s="2"/>
      <c r="G2384" s="3"/>
      <c r="H2384" s="3"/>
      <c r="I2384" s="3"/>
      <c r="J2384" s="3"/>
      <c r="K2384" s="3"/>
      <c r="L2384" s="3"/>
      <c r="N2384" s="10"/>
      <c r="O2384" s="3"/>
      <c r="P2384" s="3"/>
      <c r="Q2384" s="3"/>
    </row>
    <row r="2385" spans="5:17" x14ac:dyDescent="0.25">
      <c r="E2385" s="2"/>
      <c r="G2385" s="3"/>
      <c r="H2385" s="3"/>
      <c r="I2385" s="3"/>
      <c r="J2385" s="3"/>
      <c r="K2385" s="3"/>
      <c r="L2385" s="3"/>
      <c r="N2385" s="10"/>
      <c r="O2385" s="3"/>
      <c r="P2385" s="3"/>
      <c r="Q2385" s="3"/>
    </row>
    <row r="2386" spans="5:17" x14ac:dyDescent="0.25">
      <c r="E2386" s="2"/>
      <c r="G2386" s="3"/>
      <c r="H2386" s="3"/>
      <c r="I2386" s="3"/>
      <c r="J2386" s="3"/>
      <c r="K2386" s="3"/>
      <c r="L2386" s="3"/>
      <c r="N2386" s="10"/>
      <c r="O2386" s="3"/>
      <c r="P2386" s="3"/>
      <c r="Q2386" s="3"/>
    </row>
    <row r="2387" spans="5:17" x14ac:dyDescent="0.25">
      <c r="E2387" s="2"/>
      <c r="G2387" s="3"/>
      <c r="H2387" s="3"/>
      <c r="I2387" s="3"/>
      <c r="J2387" s="3"/>
      <c r="K2387" s="3"/>
      <c r="L2387" s="3"/>
      <c r="N2387" s="10"/>
      <c r="O2387" s="3"/>
      <c r="P2387" s="3"/>
      <c r="Q2387" s="3"/>
    </row>
    <row r="2388" spans="5:17" x14ac:dyDescent="0.25">
      <c r="E2388" s="2"/>
      <c r="G2388" s="3"/>
      <c r="H2388" s="3"/>
      <c r="I2388" s="3"/>
      <c r="J2388" s="3"/>
      <c r="K2388" s="3"/>
      <c r="L2388" s="3"/>
      <c r="N2388" s="10"/>
      <c r="O2388" s="3"/>
      <c r="P2388" s="3"/>
      <c r="Q2388" s="3"/>
    </row>
    <row r="2389" spans="5:17" x14ac:dyDescent="0.25">
      <c r="E2389" s="2"/>
      <c r="G2389" s="3"/>
      <c r="H2389" s="3"/>
      <c r="I2389" s="3"/>
      <c r="J2389" s="3"/>
      <c r="K2389" s="3"/>
      <c r="L2389" s="3"/>
      <c r="N2389" s="10"/>
      <c r="O2389" s="3"/>
      <c r="P2389" s="3"/>
      <c r="Q2389" s="3"/>
    </row>
    <row r="2390" spans="5:17" x14ac:dyDescent="0.25">
      <c r="E2390" s="2"/>
      <c r="G2390" s="3"/>
      <c r="H2390" s="3"/>
      <c r="I2390" s="3"/>
      <c r="J2390" s="3"/>
      <c r="K2390" s="3"/>
      <c r="L2390" s="3"/>
      <c r="N2390" s="10"/>
      <c r="O2390" s="3"/>
      <c r="P2390" s="3"/>
      <c r="Q2390" s="3"/>
    </row>
    <row r="2391" spans="5:17" x14ac:dyDescent="0.25">
      <c r="E2391" s="2"/>
      <c r="G2391" s="3"/>
      <c r="H2391" s="3"/>
      <c r="I2391" s="3"/>
      <c r="J2391" s="3"/>
      <c r="K2391" s="3"/>
      <c r="L2391" s="3"/>
      <c r="N2391" s="10"/>
      <c r="O2391" s="3"/>
      <c r="P2391" s="3"/>
      <c r="Q2391" s="3"/>
    </row>
    <row r="2392" spans="5:17" x14ac:dyDescent="0.25">
      <c r="E2392" s="2"/>
      <c r="G2392" s="3"/>
      <c r="H2392" s="3"/>
      <c r="I2392" s="3"/>
      <c r="J2392" s="3"/>
      <c r="K2392" s="3"/>
      <c r="L2392" s="3"/>
      <c r="N2392" s="10"/>
      <c r="O2392" s="3"/>
      <c r="P2392" s="3"/>
      <c r="Q2392" s="3"/>
    </row>
    <row r="2393" spans="5:17" x14ac:dyDescent="0.25">
      <c r="E2393" s="2"/>
      <c r="G2393" s="3"/>
      <c r="H2393" s="3"/>
      <c r="I2393" s="3"/>
      <c r="J2393" s="3"/>
      <c r="K2393" s="3"/>
      <c r="L2393" s="3"/>
      <c r="N2393" s="10"/>
      <c r="O2393" s="3"/>
      <c r="P2393" s="3"/>
      <c r="Q2393" s="3"/>
    </row>
    <row r="2394" spans="5:17" x14ac:dyDescent="0.25">
      <c r="E2394" s="2"/>
      <c r="G2394" s="3"/>
      <c r="H2394" s="3"/>
      <c r="I2394" s="3"/>
      <c r="J2394" s="3"/>
      <c r="K2394" s="3"/>
      <c r="L2394" s="3"/>
      <c r="N2394" s="10"/>
      <c r="O2394" s="3"/>
      <c r="P2394" s="3"/>
      <c r="Q2394" s="3"/>
    </row>
    <row r="2395" spans="5:17" x14ac:dyDescent="0.25">
      <c r="E2395" s="2"/>
      <c r="G2395" s="3"/>
      <c r="H2395" s="3"/>
      <c r="I2395" s="3"/>
      <c r="J2395" s="3"/>
      <c r="K2395" s="3"/>
      <c r="L2395" s="3"/>
      <c r="N2395" s="10"/>
      <c r="O2395" s="3"/>
      <c r="P2395" s="3"/>
      <c r="Q2395" s="3"/>
    </row>
    <row r="2396" spans="5:17" x14ac:dyDescent="0.25">
      <c r="E2396" s="2"/>
      <c r="G2396" s="3"/>
      <c r="H2396" s="3"/>
      <c r="I2396" s="3"/>
      <c r="J2396" s="3"/>
      <c r="K2396" s="3"/>
      <c r="L2396" s="3"/>
      <c r="N2396" s="10"/>
      <c r="O2396" s="3"/>
      <c r="P2396" s="3"/>
      <c r="Q2396" s="3"/>
    </row>
    <row r="2397" spans="5:17" x14ac:dyDescent="0.25">
      <c r="E2397" s="2"/>
      <c r="G2397" s="3"/>
      <c r="H2397" s="3"/>
      <c r="I2397" s="3"/>
      <c r="J2397" s="3"/>
      <c r="K2397" s="3"/>
      <c r="L2397" s="3"/>
      <c r="N2397" s="10"/>
      <c r="O2397" s="3"/>
      <c r="P2397" s="3"/>
      <c r="Q2397" s="3"/>
    </row>
    <row r="2398" spans="5:17" x14ac:dyDescent="0.25">
      <c r="E2398" s="2"/>
      <c r="G2398" s="3"/>
      <c r="H2398" s="3"/>
      <c r="I2398" s="3"/>
      <c r="J2398" s="3"/>
      <c r="K2398" s="3"/>
      <c r="L2398" s="3"/>
      <c r="N2398" s="10"/>
      <c r="O2398" s="3"/>
      <c r="P2398" s="3"/>
      <c r="Q2398" s="3"/>
    </row>
    <row r="2399" spans="5:17" x14ac:dyDescent="0.25">
      <c r="E2399" s="2"/>
      <c r="G2399" s="3"/>
      <c r="H2399" s="3"/>
      <c r="I2399" s="3"/>
      <c r="J2399" s="3"/>
      <c r="K2399" s="3"/>
      <c r="L2399" s="3"/>
      <c r="N2399" s="10"/>
      <c r="O2399" s="3"/>
      <c r="P2399" s="3"/>
      <c r="Q2399" s="3"/>
    </row>
    <row r="2400" spans="5:17" x14ac:dyDescent="0.25">
      <c r="E2400" s="2"/>
      <c r="G2400" s="3"/>
      <c r="H2400" s="3"/>
      <c r="I2400" s="3"/>
      <c r="J2400" s="3"/>
      <c r="K2400" s="3"/>
      <c r="L2400" s="3"/>
      <c r="N2400" s="10"/>
      <c r="O2400" s="3"/>
      <c r="P2400" s="3"/>
      <c r="Q2400" s="3"/>
    </row>
    <row r="2401" spans="5:17" x14ac:dyDescent="0.25">
      <c r="E2401" s="2"/>
      <c r="G2401" s="3"/>
      <c r="H2401" s="3"/>
      <c r="I2401" s="3"/>
      <c r="J2401" s="3"/>
      <c r="K2401" s="3"/>
      <c r="L2401" s="3"/>
      <c r="N2401" s="10"/>
      <c r="O2401" s="3"/>
      <c r="P2401" s="3"/>
      <c r="Q2401" s="3"/>
    </row>
    <row r="2402" spans="5:17" x14ac:dyDescent="0.25">
      <c r="E2402" s="2"/>
      <c r="G2402" s="3"/>
      <c r="H2402" s="3"/>
      <c r="I2402" s="3"/>
      <c r="J2402" s="3"/>
      <c r="K2402" s="3"/>
      <c r="L2402" s="3"/>
      <c r="N2402" s="10"/>
      <c r="O2402" s="3"/>
      <c r="P2402" s="3"/>
      <c r="Q2402" s="3"/>
    </row>
    <row r="2403" spans="5:17" x14ac:dyDescent="0.25">
      <c r="E2403" s="2"/>
      <c r="G2403" s="3"/>
      <c r="H2403" s="3"/>
      <c r="I2403" s="3"/>
      <c r="J2403" s="3"/>
      <c r="K2403" s="3"/>
      <c r="L2403" s="3"/>
      <c r="N2403" s="10"/>
      <c r="O2403" s="3"/>
      <c r="P2403" s="3"/>
      <c r="Q2403" s="3"/>
    </row>
    <row r="2404" spans="5:17" x14ac:dyDescent="0.25">
      <c r="E2404" s="2"/>
      <c r="G2404" s="3"/>
      <c r="H2404" s="3"/>
      <c r="I2404" s="3"/>
      <c r="J2404" s="3"/>
      <c r="K2404" s="3"/>
      <c r="L2404" s="3"/>
      <c r="N2404" s="10"/>
      <c r="O2404" s="3"/>
      <c r="P2404" s="3"/>
      <c r="Q2404" s="3"/>
    </row>
    <row r="2405" spans="5:17" x14ac:dyDescent="0.25">
      <c r="E2405" s="2"/>
      <c r="G2405" s="3"/>
      <c r="H2405" s="3"/>
      <c r="I2405" s="3"/>
      <c r="J2405" s="3"/>
      <c r="K2405" s="3"/>
      <c r="L2405" s="3"/>
      <c r="N2405" s="10"/>
      <c r="O2405" s="3"/>
      <c r="P2405" s="3"/>
      <c r="Q2405" s="3"/>
    </row>
    <row r="2406" spans="5:17" x14ac:dyDescent="0.25">
      <c r="E2406" s="2"/>
      <c r="G2406" s="3"/>
      <c r="H2406" s="3"/>
      <c r="I2406" s="3"/>
      <c r="J2406" s="3"/>
      <c r="K2406" s="3"/>
      <c r="L2406" s="3"/>
      <c r="N2406" s="10"/>
      <c r="O2406" s="3"/>
      <c r="P2406" s="3"/>
      <c r="Q2406" s="3"/>
    </row>
    <row r="2407" spans="5:17" x14ac:dyDescent="0.25">
      <c r="E2407" s="2"/>
      <c r="G2407" s="3"/>
      <c r="H2407" s="3"/>
      <c r="I2407" s="3"/>
      <c r="J2407" s="3"/>
      <c r="K2407" s="3"/>
      <c r="L2407" s="3"/>
      <c r="N2407" s="10"/>
      <c r="O2407" s="3"/>
      <c r="P2407" s="3"/>
      <c r="Q2407" s="3"/>
    </row>
    <row r="2408" spans="5:17" x14ac:dyDescent="0.25">
      <c r="E2408" s="2"/>
      <c r="G2408" s="3"/>
      <c r="H2408" s="3"/>
      <c r="I2408" s="3"/>
      <c r="J2408" s="3"/>
      <c r="K2408" s="3"/>
      <c r="L2408" s="3"/>
      <c r="N2408" s="10"/>
      <c r="O2408" s="3"/>
      <c r="P2408" s="3"/>
      <c r="Q2408" s="3"/>
    </row>
    <row r="2409" spans="5:17" x14ac:dyDescent="0.25">
      <c r="E2409" s="2"/>
      <c r="G2409" s="3"/>
      <c r="H2409" s="3"/>
      <c r="I2409" s="3"/>
      <c r="J2409" s="3"/>
      <c r="K2409" s="3"/>
      <c r="L2409" s="3"/>
      <c r="N2409" s="10"/>
      <c r="O2409" s="3"/>
      <c r="P2409" s="3"/>
      <c r="Q2409" s="3"/>
    </row>
    <row r="2410" spans="5:17" x14ac:dyDescent="0.25">
      <c r="E2410" s="2"/>
      <c r="G2410" s="3"/>
      <c r="H2410" s="3"/>
      <c r="I2410" s="3"/>
      <c r="J2410" s="3"/>
      <c r="K2410" s="3"/>
      <c r="L2410" s="3"/>
      <c r="N2410" s="10"/>
      <c r="O2410" s="3"/>
      <c r="P2410" s="3"/>
      <c r="Q2410" s="3"/>
    </row>
    <row r="2411" spans="5:17" x14ac:dyDescent="0.25">
      <c r="E2411" s="2"/>
      <c r="G2411" s="3"/>
      <c r="H2411" s="3"/>
      <c r="I2411" s="3"/>
      <c r="J2411" s="3"/>
      <c r="K2411" s="3"/>
      <c r="L2411" s="3"/>
      <c r="N2411" s="10"/>
      <c r="O2411" s="3"/>
      <c r="P2411" s="3"/>
      <c r="Q2411" s="3"/>
    </row>
    <row r="2412" spans="5:17" x14ac:dyDescent="0.25">
      <c r="E2412" s="2"/>
      <c r="G2412" s="3"/>
      <c r="H2412" s="3"/>
      <c r="I2412" s="3"/>
      <c r="J2412" s="3"/>
      <c r="K2412" s="3"/>
      <c r="L2412" s="3"/>
      <c r="N2412" s="10"/>
      <c r="O2412" s="3"/>
      <c r="P2412" s="3"/>
      <c r="Q2412" s="3"/>
    </row>
    <row r="2413" spans="5:17" x14ac:dyDescent="0.25">
      <c r="E2413" s="2"/>
      <c r="G2413" s="3"/>
      <c r="H2413" s="3"/>
      <c r="I2413" s="3"/>
      <c r="J2413" s="3"/>
      <c r="K2413" s="3"/>
      <c r="L2413" s="3"/>
      <c r="N2413" s="10"/>
      <c r="O2413" s="3"/>
      <c r="P2413" s="3"/>
      <c r="Q2413" s="3"/>
    </row>
    <row r="2414" spans="5:17" x14ac:dyDescent="0.25">
      <c r="E2414" s="2"/>
      <c r="G2414" s="3"/>
      <c r="H2414" s="3"/>
      <c r="I2414" s="3"/>
      <c r="J2414" s="3"/>
      <c r="K2414" s="3"/>
      <c r="L2414" s="3"/>
      <c r="N2414" s="10"/>
      <c r="O2414" s="3"/>
      <c r="P2414" s="3"/>
      <c r="Q2414" s="3"/>
    </row>
    <row r="2415" spans="5:17" x14ac:dyDescent="0.25">
      <c r="E2415" s="2"/>
      <c r="G2415" s="3"/>
      <c r="H2415" s="3"/>
      <c r="I2415" s="3"/>
      <c r="J2415" s="3"/>
      <c r="K2415" s="3"/>
      <c r="L2415" s="3"/>
      <c r="N2415" s="10"/>
      <c r="O2415" s="3"/>
      <c r="P2415" s="3"/>
      <c r="Q2415" s="3"/>
    </row>
    <row r="2416" spans="5:17" x14ac:dyDescent="0.25">
      <c r="E2416" s="2"/>
      <c r="G2416" s="3"/>
      <c r="H2416" s="3"/>
      <c r="I2416" s="3"/>
      <c r="J2416" s="3"/>
      <c r="K2416" s="3"/>
      <c r="L2416" s="3"/>
      <c r="N2416" s="10"/>
      <c r="O2416" s="3"/>
      <c r="P2416" s="3"/>
      <c r="Q2416" s="3"/>
    </row>
    <row r="2417" spans="5:17" x14ac:dyDescent="0.25">
      <c r="E2417" s="2"/>
      <c r="G2417" s="3"/>
      <c r="H2417" s="3"/>
      <c r="I2417" s="3"/>
      <c r="J2417" s="3"/>
      <c r="K2417" s="3"/>
      <c r="L2417" s="3"/>
      <c r="N2417" s="10"/>
      <c r="O2417" s="3"/>
      <c r="P2417" s="3"/>
      <c r="Q2417" s="3"/>
    </row>
    <row r="2418" spans="5:17" x14ac:dyDescent="0.25">
      <c r="E2418" s="2"/>
      <c r="G2418" s="3"/>
      <c r="H2418" s="3"/>
      <c r="I2418" s="3"/>
      <c r="J2418" s="3"/>
      <c r="K2418" s="3"/>
      <c r="L2418" s="3"/>
      <c r="N2418" s="10"/>
      <c r="O2418" s="3"/>
      <c r="P2418" s="3"/>
      <c r="Q2418" s="3"/>
    </row>
    <row r="2419" spans="5:17" x14ac:dyDescent="0.25">
      <c r="E2419" s="2"/>
      <c r="G2419" s="3"/>
      <c r="H2419" s="3"/>
      <c r="I2419" s="3"/>
      <c r="J2419" s="3"/>
      <c r="K2419" s="3"/>
      <c r="L2419" s="3"/>
      <c r="N2419" s="10"/>
      <c r="O2419" s="3"/>
      <c r="P2419" s="3"/>
      <c r="Q2419" s="3"/>
    </row>
    <row r="2420" spans="5:17" x14ac:dyDescent="0.25">
      <c r="E2420" s="2"/>
      <c r="G2420" s="3"/>
      <c r="H2420" s="3"/>
      <c r="I2420" s="3"/>
      <c r="J2420" s="3"/>
      <c r="K2420" s="3"/>
      <c r="L2420" s="3"/>
      <c r="N2420" s="10"/>
      <c r="O2420" s="3"/>
      <c r="P2420" s="3"/>
      <c r="Q2420" s="3"/>
    </row>
    <row r="2421" spans="5:17" x14ac:dyDescent="0.25">
      <c r="E2421" s="2"/>
      <c r="G2421" s="3"/>
      <c r="H2421" s="3"/>
      <c r="I2421" s="3"/>
      <c r="J2421" s="3"/>
      <c r="K2421" s="3"/>
      <c r="L2421" s="3"/>
      <c r="N2421" s="10"/>
      <c r="O2421" s="3"/>
      <c r="P2421" s="3"/>
      <c r="Q2421" s="3"/>
    </row>
    <row r="2422" spans="5:17" x14ac:dyDescent="0.25">
      <c r="E2422" s="2"/>
      <c r="G2422" s="3"/>
      <c r="H2422" s="3"/>
      <c r="I2422" s="3"/>
      <c r="J2422" s="3"/>
      <c r="K2422" s="3"/>
      <c r="L2422" s="3"/>
      <c r="N2422" s="10"/>
      <c r="O2422" s="3"/>
      <c r="P2422" s="3"/>
      <c r="Q2422" s="3"/>
    </row>
    <row r="2423" spans="5:17" x14ac:dyDescent="0.25">
      <c r="E2423" s="2"/>
      <c r="G2423" s="3"/>
      <c r="H2423" s="3"/>
      <c r="I2423" s="3"/>
      <c r="J2423" s="3"/>
      <c r="K2423" s="3"/>
      <c r="L2423" s="3"/>
      <c r="N2423" s="10"/>
      <c r="O2423" s="3"/>
      <c r="P2423" s="3"/>
      <c r="Q2423" s="3"/>
    </row>
    <row r="2424" spans="5:17" x14ac:dyDescent="0.25">
      <c r="E2424" s="2"/>
      <c r="G2424" s="3"/>
      <c r="H2424" s="3"/>
      <c r="I2424" s="3"/>
      <c r="J2424" s="3"/>
      <c r="K2424" s="3"/>
      <c r="L2424" s="3"/>
      <c r="N2424" s="10"/>
      <c r="O2424" s="3"/>
      <c r="P2424" s="3"/>
      <c r="Q2424" s="3"/>
    </row>
    <row r="2425" spans="5:17" x14ac:dyDescent="0.25">
      <c r="E2425" s="2"/>
      <c r="G2425" s="3"/>
      <c r="H2425" s="3"/>
      <c r="I2425" s="3"/>
      <c r="J2425" s="3"/>
      <c r="K2425" s="3"/>
      <c r="L2425" s="3"/>
      <c r="N2425" s="10"/>
      <c r="O2425" s="3"/>
      <c r="P2425" s="3"/>
      <c r="Q2425" s="3"/>
    </row>
    <row r="2426" spans="5:17" x14ac:dyDescent="0.25">
      <c r="E2426" s="2"/>
      <c r="G2426" s="3"/>
      <c r="H2426" s="3"/>
      <c r="I2426" s="3"/>
      <c r="J2426" s="3"/>
      <c r="K2426" s="3"/>
      <c r="L2426" s="3"/>
      <c r="N2426" s="10"/>
      <c r="O2426" s="3"/>
      <c r="P2426" s="3"/>
      <c r="Q2426" s="3"/>
    </row>
    <row r="2427" spans="5:17" x14ac:dyDescent="0.25">
      <c r="E2427" s="2"/>
      <c r="G2427" s="3"/>
      <c r="H2427" s="3"/>
      <c r="I2427" s="3"/>
      <c r="J2427" s="3"/>
      <c r="K2427" s="3"/>
      <c r="L2427" s="3"/>
      <c r="N2427" s="10"/>
      <c r="O2427" s="3"/>
      <c r="P2427" s="3"/>
      <c r="Q2427" s="3"/>
    </row>
    <row r="2428" spans="5:17" x14ac:dyDescent="0.25">
      <c r="E2428" s="2"/>
      <c r="G2428" s="3"/>
      <c r="H2428" s="3"/>
      <c r="I2428" s="3"/>
      <c r="J2428" s="3"/>
      <c r="K2428" s="3"/>
      <c r="L2428" s="3"/>
      <c r="N2428" s="10"/>
      <c r="O2428" s="3"/>
      <c r="P2428" s="3"/>
      <c r="Q2428" s="3"/>
    </row>
    <row r="2429" spans="5:17" x14ac:dyDescent="0.25">
      <c r="E2429" s="2"/>
      <c r="G2429" s="3"/>
      <c r="H2429" s="3"/>
      <c r="I2429" s="3"/>
      <c r="J2429" s="3"/>
      <c r="K2429" s="3"/>
      <c r="L2429" s="3"/>
      <c r="N2429" s="10"/>
      <c r="O2429" s="3"/>
      <c r="P2429" s="3"/>
      <c r="Q2429" s="3"/>
    </row>
    <row r="2430" spans="5:17" x14ac:dyDescent="0.25">
      <c r="E2430" s="2"/>
      <c r="G2430" s="3"/>
      <c r="H2430" s="3"/>
      <c r="I2430" s="3"/>
      <c r="J2430" s="3"/>
      <c r="K2430" s="3"/>
      <c r="L2430" s="3"/>
      <c r="N2430" s="10"/>
      <c r="O2430" s="3"/>
      <c r="P2430" s="3"/>
      <c r="Q2430" s="3"/>
    </row>
    <row r="2431" spans="5:17" x14ac:dyDescent="0.25">
      <c r="E2431" s="2"/>
      <c r="G2431" s="3"/>
      <c r="H2431" s="3"/>
      <c r="I2431" s="3"/>
      <c r="J2431" s="3"/>
      <c r="K2431" s="3"/>
      <c r="L2431" s="3"/>
      <c r="N2431" s="10"/>
      <c r="O2431" s="3"/>
      <c r="P2431" s="3"/>
      <c r="Q2431" s="3"/>
    </row>
    <row r="2432" spans="5:17" x14ac:dyDescent="0.25">
      <c r="E2432" s="2"/>
      <c r="G2432" s="3"/>
      <c r="H2432" s="3"/>
      <c r="I2432" s="3"/>
      <c r="J2432" s="3"/>
      <c r="K2432" s="3"/>
      <c r="L2432" s="3"/>
      <c r="N2432" s="10"/>
      <c r="O2432" s="3"/>
      <c r="P2432" s="3"/>
      <c r="Q2432" s="3"/>
    </row>
    <row r="2433" spans="5:17" x14ac:dyDescent="0.25">
      <c r="E2433" s="2"/>
      <c r="G2433" s="3"/>
      <c r="H2433" s="3"/>
      <c r="I2433" s="3"/>
      <c r="J2433" s="3"/>
      <c r="K2433" s="3"/>
      <c r="L2433" s="3"/>
      <c r="N2433" s="10"/>
      <c r="O2433" s="3"/>
      <c r="P2433" s="3"/>
      <c r="Q2433" s="3"/>
    </row>
    <row r="2434" spans="5:17" x14ac:dyDescent="0.25">
      <c r="E2434" s="2"/>
      <c r="G2434" s="3"/>
      <c r="H2434" s="3"/>
      <c r="I2434" s="3"/>
      <c r="J2434" s="3"/>
      <c r="K2434" s="3"/>
      <c r="L2434" s="3"/>
      <c r="N2434" s="10"/>
      <c r="O2434" s="3"/>
      <c r="P2434" s="3"/>
      <c r="Q2434" s="3"/>
    </row>
    <row r="2435" spans="5:17" x14ac:dyDescent="0.25">
      <c r="E2435" s="2"/>
      <c r="G2435" s="3"/>
      <c r="H2435" s="3"/>
      <c r="I2435" s="3"/>
      <c r="J2435" s="3"/>
      <c r="K2435" s="3"/>
      <c r="L2435" s="3"/>
      <c r="N2435" s="10"/>
      <c r="O2435" s="3"/>
      <c r="P2435" s="3"/>
      <c r="Q2435" s="3"/>
    </row>
    <row r="2436" spans="5:17" x14ac:dyDescent="0.25">
      <c r="E2436" s="2"/>
      <c r="G2436" s="3"/>
      <c r="H2436" s="3"/>
      <c r="I2436" s="3"/>
      <c r="J2436" s="3"/>
      <c r="K2436" s="3"/>
      <c r="L2436" s="3"/>
      <c r="N2436" s="10"/>
      <c r="O2436" s="3"/>
      <c r="P2436" s="3"/>
      <c r="Q2436" s="3"/>
    </row>
    <row r="2437" spans="5:17" x14ac:dyDescent="0.25">
      <c r="E2437" s="2"/>
      <c r="G2437" s="3"/>
      <c r="H2437" s="3"/>
      <c r="I2437" s="3"/>
      <c r="J2437" s="3"/>
      <c r="K2437" s="3"/>
      <c r="L2437" s="3"/>
      <c r="N2437" s="10"/>
      <c r="O2437" s="3"/>
      <c r="P2437" s="3"/>
      <c r="Q2437" s="3"/>
    </row>
    <row r="2438" spans="5:17" x14ac:dyDescent="0.25">
      <c r="E2438" s="2"/>
      <c r="G2438" s="3"/>
      <c r="H2438" s="3"/>
      <c r="I2438" s="3"/>
      <c r="J2438" s="3"/>
      <c r="K2438" s="3"/>
      <c r="L2438" s="3"/>
      <c r="N2438" s="10"/>
      <c r="O2438" s="3"/>
      <c r="P2438" s="3"/>
      <c r="Q2438" s="3"/>
    </row>
    <row r="2439" spans="5:17" x14ac:dyDescent="0.25">
      <c r="E2439" s="2"/>
      <c r="G2439" s="3"/>
      <c r="H2439" s="3"/>
      <c r="I2439" s="3"/>
      <c r="J2439" s="3"/>
      <c r="K2439" s="3"/>
      <c r="L2439" s="3"/>
      <c r="N2439" s="10"/>
      <c r="O2439" s="3"/>
      <c r="P2439" s="3"/>
      <c r="Q2439" s="3"/>
    </row>
    <row r="2440" spans="5:17" x14ac:dyDescent="0.25">
      <c r="E2440" s="2"/>
      <c r="G2440" s="3"/>
      <c r="H2440" s="3"/>
      <c r="I2440" s="3"/>
      <c r="J2440" s="3"/>
      <c r="K2440" s="3"/>
      <c r="L2440" s="3"/>
      <c r="N2440" s="10"/>
      <c r="O2440" s="3"/>
      <c r="P2440" s="3"/>
      <c r="Q2440" s="3"/>
    </row>
    <row r="2441" spans="5:17" x14ac:dyDescent="0.25">
      <c r="E2441" s="2"/>
      <c r="G2441" s="3"/>
      <c r="H2441" s="3"/>
      <c r="I2441" s="3"/>
      <c r="J2441" s="3"/>
      <c r="K2441" s="3"/>
      <c r="L2441" s="3"/>
      <c r="N2441" s="10"/>
      <c r="O2441" s="3"/>
      <c r="P2441" s="3"/>
      <c r="Q2441" s="3"/>
    </row>
    <row r="2442" spans="5:17" x14ac:dyDescent="0.25">
      <c r="E2442" s="2"/>
      <c r="G2442" s="7"/>
      <c r="H2442" s="7"/>
      <c r="I2442" s="7"/>
      <c r="J2442" s="7"/>
      <c r="K2442" s="7"/>
      <c r="L2442" s="7"/>
      <c r="N2442" s="6"/>
      <c r="O2442" s="3"/>
      <c r="P2442" s="3"/>
      <c r="Q2442" s="3"/>
    </row>
    <row r="2443" spans="5:17" x14ac:dyDescent="0.25">
      <c r="E2443" s="2"/>
      <c r="G2443" s="7"/>
      <c r="H2443" s="7"/>
      <c r="I2443" s="7"/>
      <c r="J2443" s="7"/>
      <c r="K2443" s="7"/>
      <c r="L2443" s="7"/>
      <c r="N2443" s="6"/>
      <c r="O2443" s="3"/>
      <c r="P2443" s="3"/>
      <c r="Q2443" s="3"/>
    </row>
    <row r="2444" spans="5:17" x14ac:dyDescent="0.25">
      <c r="E2444" s="2"/>
      <c r="G2444" s="7"/>
      <c r="H2444" s="7"/>
      <c r="I2444" s="7"/>
      <c r="J2444" s="7"/>
      <c r="K2444" s="7"/>
      <c r="L2444" s="7"/>
      <c r="N2444" s="6"/>
      <c r="O2444" s="3"/>
      <c r="P2444" s="3"/>
      <c r="Q2444" s="3"/>
    </row>
    <row r="2445" spans="5:17" x14ac:dyDescent="0.25">
      <c r="E2445" s="2"/>
      <c r="G2445" s="7"/>
      <c r="H2445" s="7"/>
      <c r="I2445" s="7"/>
      <c r="J2445" s="7"/>
      <c r="K2445" s="7"/>
      <c r="L2445" s="7"/>
      <c r="N2445" s="6"/>
      <c r="O2445" s="3"/>
      <c r="P2445" s="3"/>
      <c r="Q2445" s="3"/>
    </row>
    <row r="2446" spans="5:17" x14ac:dyDescent="0.25">
      <c r="E2446" s="2"/>
      <c r="G2446" s="7"/>
      <c r="H2446" s="7"/>
      <c r="I2446" s="7"/>
      <c r="J2446" s="7"/>
      <c r="K2446" s="7"/>
      <c r="L2446" s="7"/>
      <c r="N2446" s="6"/>
      <c r="O2446" s="3"/>
      <c r="P2446" s="3"/>
      <c r="Q2446" s="3"/>
    </row>
    <row r="2447" spans="5:17" x14ac:dyDescent="0.25">
      <c r="E2447" s="2"/>
      <c r="G2447" s="7"/>
      <c r="H2447" s="7"/>
      <c r="I2447" s="7"/>
      <c r="J2447" s="7"/>
      <c r="K2447" s="7"/>
      <c r="L2447" s="7"/>
      <c r="N2447" s="6"/>
      <c r="O2447" s="3"/>
      <c r="P2447" s="3"/>
      <c r="Q2447" s="3"/>
    </row>
    <row r="2448" spans="5:17" x14ac:dyDescent="0.25">
      <c r="E2448" s="2"/>
      <c r="G2448" s="7"/>
      <c r="H2448" s="7"/>
      <c r="I2448" s="7"/>
      <c r="J2448" s="7"/>
      <c r="K2448" s="7"/>
      <c r="L2448" s="7"/>
      <c r="N2448" s="6"/>
      <c r="O2448" s="3"/>
      <c r="P2448" s="3"/>
      <c r="Q2448" s="3"/>
    </row>
    <row r="2449" spans="5:17" x14ac:dyDescent="0.25">
      <c r="E2449" s="2"/>
      <c r="G2449" s="7"/>
      <c r="H2449" s="7"/>
      <c r="I2449" s="7"/>
      <c r="J2449" s="7"/>
      <c r="K2449" s="7"/>
      <c r="L2449" s="7"/>
      <c r="N2449" s="6"/>
      <c r="O2449" s="3"/>
      <c r="P2449" s="3"/>
      <c r="Q2449" s="3"/>
    </row>
    <row r="2450" spans="5:17" x14ac:dyDescent="0.25">
      <c r="E2450" s="2"/>
      <c r="G2450" s="7"/>
      <c r="H2450" s="7"/>
      <c r="I2450" s="7"/>
      <c r="J2450" s="7"/>
      <c r="K2450" s="7"/>
      <c r="L2450" s="7"/>
      <c r="N2450" s="6"/>
      <c r="O2450" s="3"/>
      <c r="P2450" s="3"/>
      <c r="Q2450" s="3"/>
    </row>
    <row r="2451" spans="5:17" x14ac:dyDescent="0.25">
      <c r="E2451" s="2"/>
      <c r="G2451" s="7"/>
      <c r="H2451" s="7"/>
      <c r="I2451" s="7"/>
      <c r="J2451" s="7"/>
      <c r="K2451" s="7"/>
      <c r="L2451" s="7"/>
      <c r="N2451" s="6"/>
      <c r="O2451" s="3"/>
      <c r="P2451" s="3"/>
      <c r="Q2451" s="3"/>
    </row>
    <row r="2452" spans="5:17" x14ac:dyDescent="0.25">
      <c r="E2452" s="2"/>
      <c r="G2452" s="7"/>
      <c r="H2452" s="7"/>
      <c r="I2452" s="7"/>
      <c r="J2452" s="7"/>
      <c r="K2452" s="7"/>
      <c r="L2452" s="7"/>
      <c r="N2452" s="6"/>
      <c r="O2452" s="3"/>
      <c r="P2452" s="3"/>
      <c r="Q2452" s="3"/>
    </row>
    <row r="2453" spans="5:17" x14ac:dyDescent="0.25">
      <c r="E2453" s="2"/>
      <c r="G2453" s="7"/>
      <c r="H2453" s="7"/>
      <c r="I2453" s="7"/>
      <c r="J2453" s="7"/>
      <c r="K2453" s="7"/>
      <c r="L2453" s="7"/>
      <c r="N2453" s="6"/>
      <c r="O2453" s="3"/>
      <c r="P2453" s="3"/>
      <c r="Q2453" s="3"/>
    </row>
    <row r="2454" spans="5:17" x14ac:dyDescent="0.25">
      <c r="E2454" s="2"/>
      <c r="G2454" s="7"/>
      <c r="H2454" s="7"/>
      <c r="I2454" s="7"/>
      <c r="J2454" s="7"/>
      <c r="K2454" s="7"/>
      <c r="L2454" s="7"/>
      <c r="N2454" s="6"/>
      <c r="O2454" s="3"/>
      <c r="P2454" s="3"/>
      <c r="Q2454" s="3"/>
    </row>
    <row r="2455" spans="5:17" x14ac:dyDescent="0.25">
      <c r="E2455" s="2"/>
      <c r="G2455" s="7"/>
      <c r="H2455" s="7"/>
      <c r="I2455" s="7"/>
      <c r="J2455" s="7"/>
      <c r="K2455" s="7"/>
      <c r="L2455" s="7"/>
      <c r="N2455" s="6"/>
      <c r="O2455" s="3"/>
      <c r="P2455" s="3"/>
      <c r="Q2455" s="3"/>
    </row>
    <row r="2456" spans="5:17" x14ac:dyDescent="0.25">
      <c r="E2456" s="2"/>
      <c r="G2456" s="7"/>
      <c r="H2456" s="7"/>
      <c r="I2456" s="7"/>
      <c r="J2456" s="7"/>
      <c r="K2456" s="7"/>
      <c r="L2456" s="7"/>
      <c r="N2456" s="6"/>
      <c r="O2456" s="3"/>
      <c r="P2456" s="3"/>
      <c r="Q2456" s="3"/>
    </row>
    <row r="2457" spans="5:17" x14ac:dyDescent="0.25">
      <c r="E2457" s="2"/>
      <c r="G2457" s="7"/>
      <c r="H2457" s="7"/>
      <c r="I2457" s="7"/>
      <c r="J2457" s="7"/>
      <c r="K2457" s="7"/>
      <c r="L2457" s="7"/>
      <c r="N2457" s="6"/>
      <c r="O2457" s="3"/>
      <c r="P2457" s="3"/>
      <c r="Q2457" s="3"/>
    </row>
    <row r="2458" spans="5:17" x14ac:dyDescent="0.25">
      <c r="E2458" s="2"/>
      <c r="G2458" s="7"/>
      <c r="H2458" s="7"/>
      <c r="I2458" s="7"/>
      <c r="J2458" s="7"/>
      <c r="K2458" s="7"/>
      <c r="L2458" s="7"/>
      <c r="N2458" s="6"/>
      <c r="O2458" s="3"/>
      <c r="P2458" s="3"/>
      <c r="Q2458" s="3"/>
    </row>
    <row r="2459" spans="5:17" x14ac:dyDescent="0.25">
      <c r="E2459" s="2"/>
      <c r="G2459" s="7"/>
      <c r="H2459" s="7"/>
      <c r="I2459" s="7"/>
      <c r="J2459" s="7"/>
      <c r="K2459" s="7"/>
      <c r="L2459" s="7"/>
      <c r="N2459" s="6"/>
      <c r="O2459" s="3"/>
      <c r="P2459" s="3"/>
      <c r="Q2459" s="3"/>
    </row>
    <row r="2460" spans="5:17" x14ac:dyDescent="0.25">
      <c r="E2460" s="2"/>
      <c r="G2460" s="7"/>
      <c r="H2460" s="7"/>
      <c r="I2460" s="7"/>
      <c r="J2460" s="7"/>
      <c r="K2460" s="7"/>
      <c r="L2460" s="7"/>
      <c r="N2460" s="6"/>
      <c r="O2460" s="3"/>
      <c r="P2460" s="3"/>
      <c r="Q2460" s="3"/>
    </row>
    <row r="2461" spans="5:17" x14ac:dyDescent="0.25">
      <c r="E2461" s="2"/>
      <c r="G2461" s="7"/>
      <c r="H2461" s="7"/>
      <c r="I2461" s="7"/>
      <c r="J2461" s="7"/>
      <c r="K2461" s="7"/>
      <c r="L2461" s="7"/>
      <c r="N2461" s="6"/>
      <c r="O2461" s="3"/>
      <c r="P2461" s="3"/>
      <c r="Q2461" s="3"/>
    </row>
    <row r="2462" spans="5:17" x14ac:dyDescent="0.25">
      <c r="E2462" s="2"/>
      <c r="G2462" s="7"/>
      <c r="H2462" s="7"/>
      <c r="I2462" s="7"/>
      <c r="J2462" s="7"/>
      <c r="K2462" s="7"/>
      <c r="L2462" s="7"/>
      <c r="N2462" s="6"/>
      <c r="O2462" s="3"/>
      <c r="P2462" s="3"/>
      <c r="Q2462" s="3"/>
    </row>
    <row r="2463" spans="5:17" x14ac:dyDescent="0.25">
      <c r="E2463" s="2"/>
      <c r="G2463" s="7"/>
      <c r="H2463" s="7"/>
      <c r="I2463" s="7"/>
      <c r="J2463" s="7"/>
      <c r="K2463" s="7"/>
      <c r="L2463" s="7"/>
      <c r="N2463" s="6"/>
      <c r="O2463" s="3"/>
      <c r="P2463" s="3"/>
      <c r="Q2463" s="3"/>
    </row>
    <row r="2464" spans="5:17" x14ac:dyDescent="0.25">
      <c r="E2464" s="2"/>
      <c r="G2464" s="7"/>
      <c r="H2464" s="7"/>
      <c r="I2464" s="7"/>
      <c r="J2464" s="7"/>
      <c r="K2464" s="7"/>
      <c r="L2464" s="7"/>
      <c r="N2464" s="6"/>
      <c r="O2464" s="3"/>
      <c r="P2464" s="3"/>
      <c r="Q2464" s="3"/>
    </row>
    <row r="2465" spans="5:17" x14ac:dyDescent="0.25">
      <c r="E2465" s="2"/>
      <c r="G2465" s="7"/>
      <c r="H2465" s="7"/>
      <c r="I2465" s="7"/>
      <c r="J2465" s="7"/>
      <c r="K2465" s="7"/>
      <c r="L2465" s="7"/>
      <c r="N2465" s="6"/>
      <c r="O2465" s="3"/>
      <c r="P2465" s="3"/>
      <c r="Q2465" s="3"/>
    </row>
    <row r="2466" spans="5:17" x14ac:dyDescent="0.25">
      <c r="E2466" s="2"/>
      <c r="G2466" s="7"/>
      <c r="H2466" s="7"/>
      <c r="I2466" s="7"/>
      <c r="J2466" s="7"/>
      <c r="K2466" s="7"/>
      <c r="L2466" s="7"/>
      <c r="N2466" s="6"/>
      <c r="O2466" s="3"/>
      <c r="P2466" s="3"/>
      <c r="Q2466" s="3"/>
    </row>
    <row r="2467" spans="5:17" x14ac:dyDescent="0.25">
      <c r="E2467" s="2"/>
      <c r="G2467" s="7"/>
      <c r="H2467" s="7"/>
      <c r="I2467" s="7"/>
      <c r="J2467" s="7"/>
      <c r="K2467" s="7"/>
      <c r="L2467" s="7"/>
      <c r="N2467" s="6"/>
      <c r="O2467" s="3"/>
      <c r="P2467" s="3"/>
      <c r="Q2467" s="3"/>
    </row>
    <row r="2468" spans="5:17" x14ac:dyDescent="0.25">
      <c r="E2468" s="2"/>
      <c r="G2468" s="7"/>
      <c r="H2468" s="7"/>
      <c r="I2468" s="7"/>
      <c r="J2468" s="7"/>
      <c r="K2468" s="7"/>
      <c r="L2468" s="7"/>
      <c r="N2468" s="6"/>
      <c r="O2468" s="3"/>
      <c r="P2468" s="3"/>
      <c r="Q2468" s="3"/>
    </row>
    <row r="2469" spans="5:17" x14ac:dyDescent="0.25">
      <c r="E2469" s="2"/>
      <c r="G2469" s="7"/>
      <c r="H2469" s="7"/>
      <c r="I2469" s="7"/>
      <c r="J2469" s="7"/>
      <c r="K2469" s="7"/>
      <c r="L2469" s="7"/>
      <c r="N2469" s="6"/>
      <c r="O2469" s="3"/>
      <c r="P2469" s="3"/>
      <c r="Q2469" s="3"/>
    </row>
    <row r="2470" spans="5:17" x14ac:dyDescent="0.25">
      <c r="E2470" s="2"/>
      <c r="G2470" s="7"/>
      <c r="H2470" s="7"/>
      <c r="I2470" s="7"/>
      <c r="J2470" s="7"/>
      <c r="K2470" s="7"/>
      <c r="L2470" s="7"/>
      <c r="N2470" s="6"/>
      <c r="O2470" s="3"/>
      <c r="P2470" s="3"/>
      <c r="Q2470" s="3"/>
    </row>
    <row r="2471" spans="5:17" x14ac:dyDescent="0.25">
      <c r="E2471" s="2"/>
      <c r="G2471" s="7"/>
      <c r="H2471" s="7"/>
      <c r="I2471" s="7"/>
      <c r="J2471" s="7"/>
      <c r="K2471" s="7"/>
      <c r="L2471" s="7"/>
      <c r="N2471" s="6"/>
      <c r="O2471" s="3"/>
      <c r="P2471" s="3"/>
      <c r="Q2471" s="3"/>
    </row>
    <row r="2472" spans="5:17" x14ac:dyDescent="0.25">
      <c r="E2472" s="2"/>
      <c r="G2472" s="7"/>
      <c r="H2472" s="7"/>
      <c r="I2472" s="7"/>
      <c r="J2472" s="7"/>
      <c r="K2472" s="7"/>
      <c r="L2472" s="7"/>
      <c r="N2472" s="6"/>
      <c r="O2472" s="3"/>
      <c r="P2472" s="3"/>
      <c r="Q2472" s="3"/>
    </row>
    <row r="2473" spans="5:17" x14ac:dyDescent="0.25">
      <c r="E2473" s="2"/>
      <c r="G2473" s="7"/>
      <c r="H2473" s="7"/>
      <c r="I2473" s="7"/>
      <c r="J2473" s="7"/>
      <c r="K2473" s="7"/>
      <c r="L2473" s="7"/>
      <c r="N2473" s="6"/>
      <c r="O2473" s="3"/>
      <c r="P2473" s="3"/>
      <c r="Q2473" s="3"/>
    </row>
    <row r="2474" spans="5:17" x14ac:dyDescent="0.25">
      <c r="E2474" s="2"/>
      <c r="G2474" s="7"/>
      <c r="H2474" s="7"/>
      <c r="I2474" s="7"/>
      <c r="J2474" s="7"/>
      <c r="K2474" s="7"/>
      <c r="L2474" s="7"/>
      <c r="N2474" s="6"/>
      <c r="O2474" s="3"/>
      <c r="P2474" s="3"/>
      <c r="Q2474" s="3"/>
    </row>
    <row r="2475" spans="5:17" x14ac:dyDescent="0.25">
      <c r="E2475" s="2"/>
      <c r="G2475" s="7"/>
      <c r="H2475" s="7"/>
      <c r="I2475" s="7"/>
      <c r="J2475" s="7"/>
      <c r="K2475" s="7"/>
      <c r="L2475" s="7"/>
      <c r="N2475" s="6"/>
      <c r="O2475" s="3"/>
      <c r="P2475" s="3"/>
      <c r="Q2475" s="3"/>
    </row>
    <row r="2476" spans="5:17" x14ac:dyDescent="0.25">
      <c r="E2476" s="2"/>
      <c r="G2476" s="7"/>
      <c r="H2476" s="7"/>
      <c r="I2476" s="7"/>
      <c r="J2476" s="7"/>
      <c r="K2476" s="7"/>
      <c r="L2476" s="7"/>
      <c r="N2476" s="6"/>
      <c r="O2476" s="3"/>
      <c r="P2476" s="3"/>
      <c r="Q2476" s="3"/>
    </row>
    <row r="2477" spans="5:17" x14ac:dyDescent="0.25">
      <c r="E2477" s="2"/>
      <c r="G2477" s="7"/>
      <c r="H2477" s="7"/>
      <c r="I2477" s="7"/>
      <c r="J2477" s="7"/>
      <c r="K2477" s="7"/>
      <c r="L2477" s="7"/>
      <c r="N2477" s="6"/>
      <c r="O2477" s="3"/>
      <c r="P2477" s="3"/>
      <c r="Q2477" s="3"/>
    </row>
    <row r="2478" spans="5:17" x14ac:dyDescent="0.25">
      <c r="E2478" s="2"/>
      <c r="G2478" s="7"/>
      <c r="H2478" s="7"/>
      <c r="I2478" s="7"/>
      <c r="J2478" s="7"/>
      <c r="K2478" s="7"/>
      <c r="L2478" s="7"/>
      <c r="N2478" s="6"/>
      <c r="O2478" s="3"/>
      <c r="P2478" s="3"/>
      <c r="Q2478" s="3"/>
    </row>
    <row r="2479" spans="5:17" x14ac:dyDescent="0.25">
      <c r="E2479" s="2"/>
      <c r="G2479" s="7"/>
      <c r="H2479" s="7"/>
      <c r="I2479" s="7"/>
      <c r="J2479" s="7"/>
      <c r="K2479" s="7"/>
      <c r="L2479" s="7"/>
      <c r="N2479" s="6"/>
      <c r="O2479" s="3"/>
      <c r="P2479" s="3"/>
      <c r="Q2479" s="3"/>
    </row>
    <row r="2480" spans="5:17" x14ac:dyDescent="0.25">
      <c r="E2480" s="2"/>
      <c r="G2480" s="7"/>
      <c r="H2480" s="7"/>
      <c r="I2480" s="7"/>
      <c r="J2480" s="7"/>
      <c r="K2480" s="7"/>
      <c r="L2480" s="7"/>
      <c r="N2480" s="6"/>
      <c r="O2480" s="3"/>
      <c r="P2480" s="3"/>
      <c r="Q2480" s="3"/>
    </row>
    <row r="2481" spans="5:17" x14ac:dyDescent="0.25">
      <c r="E2481" s="2"/>
      <c r="G2481" s="7"/>
      <c r="H2481" s="7"/>
      <c r="I2481" s="7"/>
      <c r="J2481" s="7"/>
      <c r="K2481" s="7"/>
      <c r="L2481" s="7"/>
      <c r="N2481" s="6"/>
      <c r="O2481" s="3"/>
      <c r="P2481" s="3"/>
      <c r="Q2481" s="3"/>
    </row>
    <row r="2482" spans="5:17" x14ac:dyDescent="0.25">
      <c r="E2482" s="2"/>
      <c r="G2482" s="7"/>
      <c r="H2482" s="7"/>
      <c r="I2482" s="7"/>
      <c r="J2482" s="7"/>
      <c r="K2482" s="7"/>
      <c r="L2482" s="7"/>
      <c r="N2482" s="6"/>
      <c r="O2482" s="3"/>
      <c r="P2482" s="3"/>
      <c r="Q2482" s="3"/>
    </row>
    <row r="2483" spans="5:17" x14ac:dyDescent="0.25">
      <c r="E2483" s="2"/>
      <c r="G2483" s="7"/>
      <c r="H2483" s="7"/>
      <c r="I2483" s="7"/>
      <c r="J2483" s="7"/>
      <c r="K2483" s="7"/>
      <c r="L2483" s="7"/>
      <c r="N2483" s="6"/>
      <c r="O2483" s="3"/>
      <c r="P2483" s="3"/>
      <c r="Q2483" s="3"/>
    </row>
    <row r="2484" spans="5:17" x14ac:dyDescent="0.25">
      <c r="E2484" s="2"/>
      <c r="G2484" s="7"/>
      <c r="H2484" s="7"/>
      <c r="I2484" s="7"/>
      <c r="J2484" s="7"/>
      <c r="K2484" s="7"/>
      <c r="L2484" s="7"/>
      <c r="N2484" s="6"/>
      <c r="O2484" s="3"/>
      <c r="P2484" s="3"/>
      <c r="Q2484" s="3"/>
    </row>
    <row r="2485" spans="5:17" x14ac:dyDescent="0.25">
      <c r="E2485" s="2"/>
      <c r="G2485" s="7"/>
      <c r="H2485" s="7"/>
      <c r="I2485" s="7"/>
      <c r="J2485" s="7"/>
      <c r="K2485" s="7"/>
      <c r="L2485" s="7"/>
      <c r="N2485" s="6"/>
      <c r="O2485" s="3"/>
      <c r="P2485" s="3"/>
      <c r="Q2485" s="3"/>
    </row>
    <row r="2486" spans="5:17" x14ac:dyDescent="0.25">
      <c r="E2486" s="2"/>
      <c r="G2486" s="7"/>
      <c r="H2486" s="7"/>
      <c r="I2486" s="7"/>
      <c r="J2486" s="7"/>
      <c r="K2486" s="7"/>
      <c r="L2486" s="7"/>
      <c r="N2486" s="6"/>
      <c r="O2486" s="3"/>
      <c r="P2486" s="3"/>
      <c r="Q2486" s="3"/>
    </row>
    <row r="2487" spans="5:17" x14ac:dyDescent="0.25">
      <c r="E2487" s="2"/>
      <c r="G2487" s="7"/>
      <c r="H2487" s="7"/>
      <c r="I2487" s="7"/>
      <c r="J2487" s="7"/>
      <c r="K2487" s="7"/>
      <c r="L2487" s="7"/>
      <c r="N2487" s="6"/>
      <c r="O2487" s="3"/>
      <c r="P2487" s="3"/>
      <c r="Q2487" s="3"/>
    </row>
    <row r="2488" spans="5:17" x14ac:dyDescent="0.25">
      <c r="E2488" s="2"/>
      <c r="G2488" s="7"/>
      <c r="H2488" s="7"/>
      <c r="I2488" s="7"/>
      <c r="J2488" s="7"/>
      <c r="K2488" s="7"/>
      <c r="L2488" s="7"/>
      <c r="N2488" s="6"/>
      <c r="O2488" s="3"/>
      <c r="P2488" s="3"/>
      <c r="Q2488" s="3"/>
    </row>
    <row r="2489" spans="5:17" x14ac:dyDescent="0.25">
      <c r="E2489" s="2"/>
      <c r="G2489" s="7"/>
      <c r="H2489" s="7"/>
      <c r="I2489" s="7"/>
      <c r="J2489" s="7"/>
      <c r="K2489" s="7"/>
      <c r="L2489" s="7"/>
      <c r="N2489" s="6"/>
      <c r="O2489" s="3"/>
      <c r="P2489" s="3"/>
      <c r="Q2489" s="3"/>
    </row>
    <row r="2490" spans="5:17" x14ac:dyDescent="0.25">
      <c r="E2490" s="2"/>
      <c r="G2490" s="7"/>
      <c r="H2490" s="7"/>
      <c r="I2490" s="7"/>
      <c r="J2490" s="7"/>
      <c r="K2490" s="7"/>
      <c r="L2490" s="7"/>
      <c r="N2490" s="6"/>
      <c r="O2490" s="3"/>
      <c r="P2490" s="3"/>
      <c r="Q2490" s="3"/>
    </row>
    <row r="2491" spans="5:17" x14ac:dyDescent="0.25">
      <c r="E2491" s="2"/>
      <c r="G2491" s="7"/>
      <c r="H2491" s="7"/>
      <c r="I2491" s="7"/>
      <c r="J2491" s="7"/>
      <c r="K2491" s="7"/>
      <c r="L2491" s="7"/>
      <c r="N2491" s="6"/>
      <c r="O2491" s="3"/>
      <c r="P2491" s="3"/>
      <c r="Q2491" s="3"/>
    </row>
    <row r="2492" spans="5:17" x14ac:dyDescent="0.25">
      <c r="E2492" s="2"/>
      <c r="G2492" s="7"/>
      <c r="H2492" s="7"/>
      <c r="I2492" s="7"/>
      <c r="J2492" s="7"/>
      <c r="K2492" s="7"/>
      <c r="L2492" s="7"/>
      <c r="N2492" s="6"/>
      <c r="O2492" s="3"/>
      <c r="P2492" s="3"/>
      <c r="Q2492" s="3"/>
    </row>
    <row r="2493" spans="5:17" x14ac:dyDescent="0.25">
      <c r="E2493" s="2"/>
      <c r="G2493" s="7"/>
      <c r="H2493" s="7"/>
      <c r="I2493" s="7"/>
      <c r="J2493" s="7"/>
      <c r="K2493" s="7"/>
      <c r="L2493" s="7"/>
      <c r="N2493" s="6"/>
      <c r="O2493" s="3"/>
      <c r="P2493" s="3"/>
      <c r="Q2493" s="3"/>
    </row>
    <row r="2494" spans="5:17" x14ac:dyDescent="0.25">
      <c r="E2494" s="2"/>
      <c r="G2494" s="7"/>
      <c r="H2494" s="7"/>
      <c r="I2494" s="7"/>
      <c r="J2494" s="7"/>
      <c r="K2494" s="7"/>
      <c r="L2494" s="7"/>
      <c r="N2494" s="6"/>
      <c r="O2494" s="3"/>
      <c r="P2494" s="3"/>
      <c r="Q2494" s="3"/>
    </row>
    <row r="2495" spans="5:17" x14ac:dyDescent="0.25">
      <c r="E2495" s="2"/>
      <c r="G2495" s="7"/>
      <c r="H2495" s="7"/>
      <c r="I2495" s="7"/>
      <c r="J2495" s="7"/>
      <c r="K2495" s="7"/>
      <c r="L2495" s="7"/>
      <c r="N2495" s="6"/>
      <c r="O2495" s="3"/>
      <c r="P2495" s="3"/>
      <c r="Q2495" s="3"/>
    </row>
    <row r="2496" spans="5:17" x14ac:dyDescent="0.25">
      <c r="E2496" s="2"/>
      <c r="G2496" s="7"/>
      <c r="H2496" s="7"/>
      <c r="I2496" s="7"/>
      <c r="J2496" s="7"/>
      <c r="K2496" s="7"/>
      <c r="L2496" s="7"/>
      <c r="N2496" s="6"/>
      <c r="O2496" s="3"/>
      <c r="P2496" s="3"/>
      <c r="Q2496" s="3"/>
    </row>
    <row r="2497" spans="5:17" x14ac:dyDescent="0.25">
      <c r="E2497" s="2"/>
      <c r="G2497" s="7"/>
      <c r="H2497" s="7"/>
      <c r="I2497" s="7"/>
      <c r="J2497" s="7"/>
      <c r="K2497" s="7"/>
      <c r="L2497" s="7"/>
      <c r="N2497" s="6"/>
      <c r="O2497" s="3"/>
      <c r="P2497" s="3"/>
      <c r="Q2497" s="3"/>
    </row>
    <row r="2498" spans="5:17" x14ac:dyDescent="0.25">
      <c r="E2498" s="2"/>
      <c r="G2498" s="7"/>
      <c r="H2498" s="7"/>
      <c r="I2498" s="7"/>
      <c r="J2498" s="7"/>
      <c r="K2498" s="7"/>
      <c r="L2498" s="7"/>
      <c r="N2498" s="6"/>
      <c r="O2498" s="3"/>
      <c r="P2498" s="3"/>
      <c r="Q2498" s="3"/>
    </row>
    <row r="2499" spans="5:17" x14ac:dyDescent="0.25">
      <c r="E2499" s="2"/>
      <c r="G2499" s="7"/>
      <c r="H2499" s="7"/>
      <c r="I2499" s="7"/>
      <c r="J2499" s="7"/>
      <c r="K2499" s="7"/>
      <c r="L2499" s="7"/>
      <c r="N2499" s="6"/>
      <c r="O2499" s="3"/>
      <c r="P2499" s="3"/>
      <c r="Q2499" s="3"/>
    </row>
    <row r="2500" spans="5:17" x14ac:dyDescent="0.25">
      <c r="E2500" s="2"/>
      <c r="G2500" s="7"/>
      <c r="H2500" s="7"/>
      <c r="I2500" s="7"/>
      <c r="J2500" s="7"/>
      <c r="K2500" s="7"/>
      <c r="L2500" s="7"/>
      <c r="N2500" s="6"/>
      <c r="O2500" s="3"/>
      <c r="P2500" s="3"/>
      <c r="Q2500" s="3"/>
    </row>
    <row r="2501" spans="5:17" x14ac:dyDescent="0.25">
      <c r="E2501" s="2"/>
      <c r="G2501" s="7"/>
      <c r="H2501" s="7"/>
      <c r="I2501" s="7"/>
      <c r="J2501" s="7"/>
      <c r="K2501" s="7"/>
      <c r="L2501" s="7"/>
      <c r="N2501" s="6"/>
      <c r="O2501" s="3"/>
      <c r="P2501" s="3"/>
      <c r="Q2501" s="3"/>
    </row>
    <row r="2502" spans="5:17" x14ac:dyDescent="0.25">
      <c r="E2502" s="2"/>
      <c r="G2502" s="7"/>
      <c r="H2502" s="7"/>
      <c r="I2502" s="7"/>
      <c r="J2502" s="7"/>
      <c r="K2502" s="7"/>
      <c r="L2502" s="7"/>
      <c r="N2502" s="6"/>
      <c r="O2502" s="3"/>
      <c r="P2502" s="3"/>
      <c r="Q2502" s="3"/>
    </row>
    <row r="2503" spans="5:17" x14ac:dyDescent="0.25">
      <c r="E2503" s="2"/>
      <c r="G2503" s="7"/>
      <c r="H2503" s="7"/>
      <c r="I2503" s="7"/>
      <c r="J2503" s="7"/>
      <c r="K2503" s="7"/>
      <c r="L2503" s="7"/>
      <c r="N2503" s="6"/>
      <c r="O2503" s="3"/>
      <c r="P2503" s="3"/>
      <c r="Q2503" s="3"/>
    </row>
    <row r="2504" spans="5:17" x14ac:dyDescent="0.25">
      <c r="E2504" s="2"/>
      <c r="G2504" s="7"/>
      <c r="H2504" s="7"/>
      <c r="I2504" s="7"/>
      <c r="J2504" s="7"/>
      <c r="K2504" s="7"/>
      <c r="L2504" s="7"/>
      <c r="N2504" s="6"/>
      <c r="O2504" s="3"/>
      <c r="P2504" s="3"/>
      <c r="Q2504" s="3"/>
    </row>
    <row r="2505" spans="5:17" x14ac:dyDescent="0.25">
      <c r="E2505" s="2"/>
      <c r="G2505" s="7"/>
      <c r="H2505" s="7"/>
      <c r="I2505" s="7"/>
      <c r="J2505" s="7"/>
      <c r="K2505" s="7"/>
      <c r="L2505" s="7"/>
      <c r="N2505" s="6"/>
      <c r="O2505" s="3"/>
      <c r="P2505" s="3"/>
      <c r="Q2505" s="3"/>
    </row>
    <row r="2506" spans="5:17" x14ac:dyDescent="0.25">
      <c r="E2506" s="2"/>
      <c r="G2506" s="7"/>
      <c r="H2506" s="7"/>
      <c r="I2506" s="7"/>
      <c r="J2506" s="7"/>
      <c r="K2506" s="7"/>
      <c r="L2506" s="7"/>
      <c r="N2506" s="6"/>
      <c r="O2506" s="3"/>
      <c r="P2506" s="3"/>
      <c r="Q2506" s="3"/>
    </row>
    <row r="2507" spans="5:17" x14ac:dyDescent="0.25">
      <c r="E2507" s="2"/>
      <c r="G2507" s="7"/>
      <c r="H2507" s="7"/>
      <c r="I2507" s="7"/>
      <c r="J2507" s="7"/>
      <c r="K2507" s="7"/>
      <c r="L2507" s="7"/>
      <c r="N2507" s="6"/>
      <c r="O2507" s="3"/>
      <c r="P2507" s="3"/>
      <c r="Q2507" s="3"/>
    </row>
    <row r="2508" spans="5:17" x14ac:dyDescent="0.25">
      <c r="E2508" s="2"/>
      <c r="G2508" s="7"/>
      <c r="H2508" s="7"/>
      <c r="I2508" s="7"/>
      <c r="J2508" s="7"/>
      <c r="K2508" s="7"/>
      <c r="L2508" s="7"/>
      <c r="N2508" s="6"/>
      <c r="O2508" s="3"/>
      <c r="P2508" s="3"/>
      <c r="Q2508" s="3"/>
    </row>
    <row r="2509" spans="5:17" x14ac:dyDescent="0.25">
      <c r="E2509" s="2"/>
      <c r="G2509" s="7"/>
      <c r="H2509" s="7"/>
      <c r="I2509" s="7"/>
      <c r="J2509" s="7"/>
      <c r="K2509" s="7"/>
      <c r="L2509" s="7"/>
      <c r="N2509" s="6"/>
      <c r="O2509" s="3"/>
      <c r="P2509" s="3"/>
      <c r="Q2509" s="3"/>
    </row>
    <row r="2510" spans="5:17" x14ac:dyDescent="0.25">
      <c r="E2510" s="2"/>
      <c r="G2510" s="7"/>
      <c r="H2510" s="7"/>
      <c r="I2510" s="7"/>
      <c r="J2510" s="7"/>
      <c r="K2510" s="7"/>
      <c r="L2510" s="7"/>
      <c r="N2510" s="6"/>
      <c r="O2510" s="3"/>
      <c r="P2510" s="3"/>
      <c r="Q2510" s="3"/>
    </row>
    <row r="2511" spans="5:17" x14ac:dyDescent="0.25">
      <c r="E2511" s="2"/>
      <c r="G2511" s="7"/>
      <c r="H2511" s="7"/>
      <c r="I2511" s="7"/>
      <c r="J2511" s="7"/>
      <c r="K2511" s="7"/>
      <c r="L2511" s="7"/>
      <c r="N2511" s="6"/>
      <c r="O2511" s="3"/>
      <c r="P2511" s="3"/>
      <c r="Q2511" s="3"/>
    </row>
    <row r="2512" spans="5:17" x14ac:dyDescent="0.25">
      <c r="E2512" s="2"/>
      <c r="G2512" s="7"/>
      <c r="H2512" s="7"/>
      <c r="I2512" s="7"/>
      <c r="J2512" s="7"/>
      <c r="K2512" s="7"/>
      <c r="L2512" s="7"/>
      <c r="N2512" s="6"/>
      <c r="O2512" s="3"/>
      <c r="P2512" s="3"/>
      <c r="Q2512" s="3"/>
    </row>
    <row r="2513" spans="5:17" x14ac:dyDescent="0.25">
      <c r="E2513" s="2"/>
      <c r="G2513" s="7"/>
      <c r="H2513" s="7"/>
      <c r="I2513" s="7"/>
      <c r="J2513" s="7"/>
      <c r="K2513" s="7"/>
      <c r="L2513" s="7"/>
      <c r="N2513" s="6"/>
      <c r="O2513" s="3"/>
      <c r="P2513" s="3"/>
      <c r="Q2513" s="3"/>
    </row>
    <row r="2514" spans="5:17" x14ac:dyDescent="0.25">
      <c r="E2514" s="2"/>
      <c r="G2514" s="7"/>
      <c r="H2514" s="7"/>
      <c r="I2514" s="7"/>
      <c r="J2514" s="7"/>
      <c r="K2514" s="7"/>
      <c r="L2514" s="7"/>
      <c r="N2514" s="6"/>
      <c r="O2514" s="3"/>
      <c r="P2514" s="3"/>
      <c r="Q2514" s="3"/>
    </row>
    <row r="2515" spans="5:17" x14ac:dyDescent="0.25">
      <c r="E2515" s="2"/>
      <c r="G2515" s="7"/>
      <c r="H2515" s="7"/>
      <c r="I2515" s="7"/>
      <c r="J2515" s="7"/>
      <c r="K2515" s="7"/>
      <c r="L2515" s="7"/>
      <c r="N2515" s="6"/>
      <c r="O2515" s="3"/>
      <c r="P2515" s="3"/>
      <c r="Q2515" s="3"/>
    </row>
    <row r="2516" spans="5:17" x14ac:dyDescent="0.25">
      <c r="E2516" s="2"/>
      <c r="G2516" s="7"/>
      <c r="H2516" s="7"/>
      <c r="I2516" s="7"/>
      <c r="J2516" s="7"/>
      <c r="K2516" s="7"/>
      <c r="L2516" s="7"/>
      <c r="N2516" s="6"/>
      <c r="O2516" s="3"/>
      <c r="P2516" s="3"/>
      <c r="Q2516" s="3"/>
    </row>
    <row r="2517" spans="5:17" x14ac:dyDescent="0.25">
      <c r="E2517" s="2"/>
      <c r="G2517" s="7"/>
      <c r="H2517" s="7"/>
      <c r="I2517" s="7"/>
      <c r="J2517" s="7"/>
      <c r="K2517" s="7"/>
      <c r="L2517" s="7"/>
      <c r="N2517" s="6"/>
      <c r="O2517" s="3"/>
      <c r="P2517" s="3"/>
      <c r="Q2517" s="3"/>
    </row>
    <row r="2518" spans="5:17" x14ac:dyDescent="0.25">
      <c r="E2518" s="2"/>
      <c r="G2518" s="7"/>
      <c r="H2518" s="7"/>
      <c r="I2518" s="7"/>
      <c r="J2518" s="7"/>
      <c r="K2518" s="7"/>
      <c r="L2518" s="7"/>
      <c r="N2518" s="6"/>
      <c r="O2518" s="3"/>
      <c r="P2518" s="3"/>
      <c r="Q2518" s="3"/>
    </row>
    <row r="2519" spans="5:17" x14ac:dyDescent="0.25">
      <c r="E2519" s="2"/>
      <c r="G2519" s="7"/>
      <c r="H2519" s="7"/>
      <c r="I2519" s="7"/>
      <c r="J2519" s="7"/>
      <c r="K2519" s="7"/>
      <c r="L2519" s="7"/>
      <c r="N2519" s="6"/>
      <c r="O2519" s="3"/>
      <c r="P2519" s="3"/>
      <c r="Q2519" s="3"/>
    </row>
    <row r="2520" spans="5:17" x14ac:dyDescent="0.25">
      <c r="E2520" s="2"/>
      <c r="G2520" s="7"/>
      <c r="H2520" s="7"/>
      <c r="I2520" s="7"/>
      <c r="J2520" s="7"/>
      <c r="K2520" s="7"/>
      <c r="L2520" s="7"/>
      <c r="N2520" s="6"/>
      <c r="O2520" s="3"/>
      <c r="P2520" s="3"/>
      <c r="Q2520" s="3"/>
    </row>
    <row r="2521" spans="5:17" x14ac:dyDescent="0.25">
      <c r="E2521" s="2"/>
      <c r="G2521" s="7"/>
      <c r="H2521" s="7"/>
      <c r="I2521" s="7"/>
      <c r="J2521" s="7"/>
      <c r="K2521" s="7"/>
      <c r="L2521" s="7"/>
      <c r="N2521" s="6"/>
      <c r="O2521" s="3"/>
      <c r="P2521" s="3"/>
      <c r="Q2521" s="3"/>
    </row>
    <row r="2522" spans="5:17" x14ac:dyDescent="0.25">
      <c r="E2522" s="2"/>
      <c r="G2522" s="7"/>
      <c r="H2522" s="7"/>
      <c r="I2522" s="7"/>
      <c r="J2522" s="7"/>
      <c r="K2522" s="7"/>
      <c r="L2522" s="7"/>
      <c r="N2522" s="6"/>
      <c r="O2522" s="3"/>
      <c r="P2522" s="3"/>
      <c r="Q2522" s="3"/>
    </row>
    <row r="2523" spans="5:17" x14ac:dyDescent="0.25">
      <c r="E2523" s="2"/>
      <c r="G2523" s="7"/>
      <c r="H2523" s="7"/>
      <c r="I2523" s="7"/>
      <c r="J2523" s="7"/>
      <c r="K2523" s="7"/>
      <c r="L2523" s="7"/>
      <c r="N2523" s="6"/>
      <c r="O2523" s="3"/>
      <c r="P2523" s="3"/>
      <c r="Q2523" s="3"/>
    </row>
    <row r="2524" spans="5:17" x14ac:dyDescent="0.25">
      <c r="E2524" s="2"/>
      <c r="G2524" s="7"/>
      <c r="H2524" s="7"/>
      <c r="I2524" s="7"/>
      <c r="J2524" s="7"/>
      <c r="K2524" s="7"/>
      <c r="L2524" s="7"/>
      <c r="N2524" s="6"/>
      <c r="O2524" s="3"/>
      <c r="P2524" s="3"/>
      <c r="Q2524" s="3"/>
    </row>
    <row r="2525" spans="5:17" x14ac:dyDescent="0.25">
      <c r="E2525" s="2"/>
      <c r="G2525" s="7"/>
      <c r="H2525" s="7"/>
      <c r="I2525" s="7"/>
      <c r="J2525" s="7"/>
      <c r="K2525" s="7"/>
      <c r="L2525" s="7"/>
      <c r="N2525" s="6"/>
      <c r="O2525" s="3"/>
      <c r="P2525" s="3"/>
      <c r="Q2525" s="3"/>
    </row>
    <row r="2526" spans="5:17" x14ac:dyDescent="0.25">
      <c r="E2526" s="2"/>
      <c r="G2526" s="7"/>
      <c r="H2526" s="7"/>
      <c r="I2526" s="7"/>
      <c r="J2526" s="7"/>
      <c r="K2526" s="7"/>
      <c r="L2526" s="7"/>
      <c r="N2526" s="6"/>
      <c r="O2526" s="3"/>
      <c r="P2526" s="3"/>
      <c r="Q2526" s="3"/>
    </row>
    <row r="2527" spans="5:17" x14ac:dyDescent="0.25">
      <c r="E2527" s="2"/>
      <c r="G2527" s="7"/>
      <c r="H2527" s="7"/>
      <c r="I2527" s="7"/>
      <c r="J2527" s="7"/>
      <c r="K2527" s="7"/>
      <c r="L2527" s="7"/>
      <c r="N2527" s="6"/>
      <c r="O2527" s="3"/>
      <c r="P2527" s="3"/>
      <c r="Q2527" s="3"/>
    </row>
    <row r="2528" spans="5:17" x14ac:dyDescent="0.25">
      <c r="E2528" s="2"/>
      <c r="G2528" s="7"/>
      <c r="H2528" s="7"/>
      <c r="I2528" s="7"/>
      <c r="J2528" s="7"/>
      <c r="K2528" s="7"/>
      <c r="L2528" s="7"/>
      <c r="N2528" s="6"/>
      <c r="O2528" s="3"/>
      <c r="P2528" s="3"/>
      <c r="Q2528" s="3"/>
    </row>
    <row r="2529" spans="5:17" x14ac:dyDescent="0.25">
      <c r="E2529" s="2"/>
      <c r="G2529" s="7"/>
      <c r="H2529" s="7"/>
      <c r="I2529" s="7"/>
      <c r="J2529" s="7"/>
      <c r="K2529" s="7"/>
      <c r="L2529" s="7"/>
      <c r="N2529" s="6"/>
      <c r="O2529" s="3"/>
      <c r="P2529" s="3"/>
      <c r="Q2529" s="3"/>
    </row>
    <row r="2530" spans="5:17" x14ac:dyDescent="0.25">
      <c r="E2530" s="2"/>
      <c r="G2530" s="7"/>
      <c r="H2530" s="7"/>
      <c r="I2530" s="7"/>
      <c r="J2530" s="7"/>
      <c r="K2530" s="7"/>
      <c r="L2530" s="7"/>
      <c r="N2530" s="6"/>
      <c r="O2530" s="3"/>
      <c r="P2530" s="3"/>
      <c r="Q2530" s="3"/>
    </row>
    <row r="2531" spans="5:17" x14ac:dyDescent="0.25">
      <c r="E2531" s="2"/>
      <c r="G2531" s="7"/>
      <c r="H2531" s="7"/>
      <c r="I2531" s="7"/>
      <c r="J2531" s="7"/>
      <c r="K2531" s="7"/>
      <c r="L2531" s="7"/>
      <c r="N2531" s="6"/>
      <c r="O2531" s="3"/>
      <c r="P2531" s="3"/>
      <c r="Q2531" s="3"/>
    </row>
    <row r="2532" spans="5:17" x14ac:dyDescent="0.25">
      <c r="E2532" s="2"/>
      <c r="G2532" s="7"/>
      <c r="H2532" s="7"/>
      <c r="I2532" s="7"/>
      <c r="J2532" s="7"/>
      <c r="K2532" s="7"/>
      <c r="L2532" s="7"/>
      <c r="N2532" s="6"/>
      <c r="O2532" s="3"/>
      <c r="P2532" s="3"/>
      <c r="Q2532" s="3"/>
    </row>
    <row r="2533" spans="5:17" x14ac:dyDescent="0.25">
      <c r="E2533" s="2"/>
      <c r="G2533" s="7"/>
      <c r="H2533" s="7"/>
      <c r="I2533" s="7"/>
      <c r="J2533" s="7"/>
      <c r="K2533" s="7"/>
      <c r="L2533" s="7"/>
      <c r="N2533" s="6"/>
      <c r="O2533" s="3"/>
      <c r="P2533" s="3"/>
      <c r="Q2533" s="3"/>
    </row>
    <row r="2534" spans="5:17" x14ac:dyDescent="0.25">
      <c r="E2534" s="2"/>
      <c r="G2534" s="7"/>
      <c r="H2534" s="7"/>
      <c r="I2534" s="7"/>
      <c r="J2534" s="7"/>
      <c r="K2534" s="7"/>
      <c r="L2534" s="7"/>
      <c r="N2534" s="6"/>
      <c r="O2534" s="3"/>
      <c r="P2534" s="3"/>
      <c r="Q2534" s="3"/>
    </row>
    <row r="2535" spans="5:17" x14ac:dyDescent="0.25">
      <c r="E2535" s="2"/>
      <c r="G2535" s="7"/>
      <c r="H2535" s="7"/>
      <c r="I2535" s="7"/>
      <c r="J2535" s="7"/>
      <c r="K2535" s="7"/>
      <c r="L2535" s="7"/>
      <c r="N2535" s="6"/>
      <c r="O2535" s="3"/>
      <c r="P2535" s="3"/>
      <c r="Q2535" s="3"/>
    </row>
    <row r="2536" spans="5:17" x14ac:dyDescent="0.25">
      <c r="E2536" s="2"/>
      <c r="G2536" s="7"/>
      <c r="H2536" s="7"/>
      <c r="I2536" s="7"/>
      <c r="J2536" s="7"/>
      <c r="K2536" s="7"/>
      <c r="L2536" s="7"/>
      <c r="N2536" s="6"/>
      <c r="O2536" s="3"/>
      <c r="P2536" s="3"/>
      <c r="Q2536" s="3"/>
    </row>
    <row r="2537" spans="5:17" x14ac:dyDescent="0.25">
      <c r="E2537" s="2"/>
      <c r="G2537" s="7"/>
      <c r="H2537" s="7"/>
      <c r="I2537" s="7"/>
      <c r="J2537" s="7"/>
      <c r="K2537" s="7"/>
      <c r="L2537" s="7"/>
      <c r="N2537" s="6"/>
      <c r="O2537" s="3"/>
      <c r="P2537" s="3"/>
      <c r="Q2537" s="3"/>
    </row>
    <row r="2538" spans="5:17" x14ac:dyDescent="0.25">
      <c r="E2538" s="2"/>
      <c r="G2538" s="7"/>
      <c r="H2538" s="7"/>
      <c r="I2538" s="7"/>
      <c r="J2538" s="7"/>
      <c r="K2538" s="7"/>
      <c r="L2538" s="7"/>
      <c r="N2538" s="6"/>
      <c r="O2538" s="3"/>
      <c r="P2538" s="3"/>
      <c r="Q2538" s="3"/>
    </row>
    <row r="2539" spans="5:17" x14ac:dyDescent="0.25">
      <c r="E2539" s="2"/>
      <c r="G2539" s="7"/>
      <c r="H2539" s="7"/>
      <c r="I2539" s="7"/>
      <c r="J2539" s="7"/>
      <c r="K2539" s="7"/>
      <c r="L2539" s="7"/>
      <c r="N2539" s="6"/>
      <c r="O2539" s="3"/>
      <c r="P2539" s="3"/>
      <c r="Q2539" s="3"/>
    </row>
    <row r="2540" spans="5:17" x14ac:dyDescent="0.25">
      <c r="E2540" s="2"/>
      <c r="G2540" s="7"/>
      <c r="H2540" s="7"/>
      <c r="I2540" s="7"/>
      <c r="J2540" s="7"/>
      <c r="K2540" s="7"/>
      <c r="L2540" s="7"/>
      <c r="N2540" s="6"/>
      <c r="O2540" s="3"/>
      <c r="P2540" s="3"/>
      <c r="Q2540" s="3"/>
    </row>
    <row r="2541" spans="5:17" x14ac:dyDescent="0.25">
      <c r="E2541" s="2"/>
      <c r="G2541" s="7"/>
      <c r="H2541" s="7"/>
      <c r="I2541" s="7"/>
      <c r="J2541" s="7"/>
      <c r="K2541" s="7"/>
      <c r="L2541" s="7"/>
      <c r="N2541" s="6"/>
      <c r="O2541" s="3"/>
      <c r="P2541" s="3"/>
      <c r="Q2541" s="3"/>
    </row>
    <row r="2542" spans="5:17" x14ac:dyDescent="0.25">
      <c r="E2542" s="2"/>
      <c r="G2542" s="7"/>
      <c r="H2542" s="7"/>
      <c r="I2542" s="7"/>
      <c r="J2542" s="7"/>
      <c r="K2542" s="7"/>
      <c r="L2542" s="7"/>
      <c r="N2542" s="6"/>
      <c r="O2542" s="3"/>
      <c r="P2542" s="3"/>
      <c r="Q2542" s="3"/>
    </row>
    <row r="2543" spans="5:17" x14ac:dyDescent="0.25">
      <c r="E2543" s="2"/>
      <c r="G2543" s="7"/>
      <c r="H2543" s="7"/>
      <c r="I2543" s="7"/>
      <c r="J2543" s="7"/>
      <c r="K2543" s="7"/>
      <c r="L2543" s="7"/>
      <c r="N2543" s="6"/>
      <c r="O2543" s="3"/>
      <c r="P2543" s="3"/>
      <c r="Q2543" s="3"/>
    </row>
    <row r="2544" spans="5:17" x14ac:dyDescent="0.25">
      <c r="E2544" s="2"/>
      <c r="G2544" s="7"/>
      <c r="H2544" s="7"/>
      <c r="I2544" s="7"/>
      <c r="J2544" s="7"/>
      <c r="K2544" s="7"/>
      <c r="L2544" s="7"/>
      <c r="N2544" s="6"/>
      <c r="O2544" s="3"/>
      <c r="P2544" s="3"/>
      <c r="Q2544" s="3"/>
    </row>
    <row r="2545" spans="5:17" x14ac:dyDescent="0.25">
      <c r="E2545" s="2"/>
      <c r="G2545" s="7"/>
      <c r="H2545" s="7"/>
      <c r="I2545" s="7"/>
      <c r="J2545" s="7"/>
      <c r="K2545" s="7"/>
      <c r="L2545" s="7"/>
      <c r="N2545" s="6"/>
      <c r="O2545" s="3"/>
      <c r="P2545" s="3"/>
      <c r="Q2545" s="3"/>
    </row>
    <row r="2546" spans="5:17" x14ac:dyDescent="0.25">
      <c r="E2546" s="2"/>
      <c r="G2546" s="7"/>
      <c r="H2546" s="7"/>
      <c r="I2546" s="7"/>
      <c r="J2546" s="7"/>
      <c r="K2546" s="7"/>
      <c r="L2546" s="7"/>
      <c r="N2546" s="6"/>
      <c r="O2546" s="3"/>
      <c r="P2546" s="3"/>
      <c r="Q2546" s="3"/>
    </row>
    <row r="2547" spans="5:17" x14ac:dyDescent="0.25">
      <c r="E2547" s="2"/>
      <c r="G2547" s="7"/>
      <c r="H2547" s="7"/>
      <c r="I2547" s="7"/>
      <c r="J2547" s="7"/>
      <c r="K2547" s="7"/>
      <c r="L2547" s="7"/>
      <c r="N2547" s="6"/>
      <c r="O2547" s="3"/>
      <c r="P2547" s="3"/>
      <c r="Q2547" s="3"/>
    </row>
    <row r="2548" spans="5:17" x14ac:dyDescent="0.25">
      <c r="E2548" s="2"/>
      <c r="G2548" s="7"/>
      <c r="H2548" s="7"/>
      <c r="I2548" s="7"/>
      <c r="J2548" s="7"/>
      <c r="K2548" s="7"/>
      <c r="L2548" s="7"/>
      <c r="N2548" s="6"/>
      <c r="O2548" s="3"/>
      <c r="P2548" s="3"/>
      <c r="Q2548" s="3"/>
    </row>
    <row r="2549" spans="5:17" x14ac:dyDescent="0.25">
      <c r="E2549" s="2"/>
      <c r="G2549" s="7"/>
      <c r="H2549" s="7"/>
      <c r="I2549" s="7"/>
      <c r="J2549" s="7"/>
      <c r="K2549" s="7"/>
      <c r="L2549" s="7"/>
      <c r="N2549" s="6"/>
      <c r="O2549" s="3"/>
      <c r="P2549" s="3"/>
      <c r="Q2549" s="3"/>
    </row>
    <row r="2550" spans="5:17" x14ac:dyDescent="0.25">
      <c r="E2550" s="2"/>
      <c r="G2550" s="7"/>
      <c r="H2550" s="7"/>
      <c r="I2550" s="7"/>
      <c r="J2550" s="7"/>
      <c r="K2550" s="7"/>
      <c r="L2550" s="7"/>
      <c r="N2550" s="6"/>
      <c r="O2550" s="3"/>
      <c r="P2550" s="3"/>
      <c r="Q2550" s="3"/>
    </row>
    <row r="2551" spans="5:17" x14ac:dyDescent="0.25">
      <c r="E2551" s="2"/>
      <c r="G2551" s="7"/>
      <c r="H2551" s="7"/>
      <c r="I2551" s="7"/>
      <c r="J2551" s="7"/>
      <c r="K2551" s="7"/>
      <c r="L2551" s="7"/>
      <c r="N2551" s="6"/>
      <c r="O2551" s="3"/>
      <c r="P2551" s="3"/>
      <c r="Q2551" s="3"/>
    </row>
    <row r="2552" spans="5:17" x14ac:dyDescent="0.25">
      <c r="E2552" s="2"/>
      <c r="G2552" s="7"/>
      <c r="H2552" s="7"/>
      <c r="I2552" s="7"/>
      <c r="J2552" s="7"/>
      <c r="K2552" s="7"/>
      <c r="L2552" s="7"/>
      <c r="N2552" s="6"/>
      <c r="O2552" s="3"/>
      <c r="P2552" s="3"/>
      <c r="Q2552" s="3"/>
    </row>
    <row r="2553" spans="5:17" x14ac:dyDescent="0.25">
      <c r="E2553" s="2"/>
      <c r="G2553" s="7"/>
      <c r="H2553" s="7"/>
      <c r="I2553" s="7"/>
      <c r="J2553" s="7"/>
      <c r="K2553" s="7"/>
      <c r="L2553" s="7"/>
      <c r="N2553" s="6"/>
      <c r="O2553" s="3"/>
      <c r="P2553" s="3"/>
      <c r="Q2553" s="3"/>
    </row>
    <row r="2554" spans="5:17" x14ac:dyDescent="0.25">
      <c r="E2554" s="2"/>
      <c r="G2554" s="7"/>
      <c r="H2554" s="7"/>
      <c r="I2554" s="7"/>
      <c r="J2554" s="7"/>
      <c r="K2554" s="7"/>
      <c r="L2554" s="7"/>
      <c r="N2554" s="6"/>
      <c r="O2554" s="3"/>
      <c r="P2554" s="3"/>
      <c r="Q2554" s="3"/>
    </row>
    <row r="2555" spans="5:17" x14ac:dyDescent="0.25">
      <c r="E2555" s="2"/>
      <c r="G2555" s="7"/>
      <c r="H2555" s="7"/>
      <c r="I2555" s="7"/>
      <c r="J2555" s="7"/>
      <c r="K2555" s="7"/>
      <c r="L2555" s="7"/>
      <c r="N2555" s="6"/>
      <c r="O2555" s="3"/>
      <c r="P2555" s="3"/>
      <c r="Q2555" s="3"/>
    </row>
    <row r="2556" spans="5:17" x14ac:dyDescent="0.25">
      <c r="E2556" s="2"/>
      <c r="G2556" s="7"/>
      <c r="H2556" s="7"/>
      <c r="I2556" s="7"/>
      <c r="J2556" s="7"/>
      <c r="K2556" s="7"/>
      <c r="L2556" s="7"/>
      <c r="N2556" s="6"/>
      <c r="O2556" s="3"/>
      <c r="P2556" s="3"/>
      <c r="Q2556" s="3"/>
    </row>
    <row r="2557" spans="5:17" x14ac:dyDescent="0.25">
      <c r="E2557" s="2"/>
      <c r="G2557" s="7"/>
      <c r="H2557" s="7"/>
      <c r="I2557" s="7"/>
      <c r="J2557" s="7"/>
      <c r="K2557" s="7"/>
      <c r="L2557" s="7"/>
      <c r="N2557" s="6"/>
      <c r="O2557" s="3"/>
      <c r="P2557" s="3"/>
      <c r="Q2557" s="3"/>
    </row>
    <row r="2558" spans="5:17" x14ac:dyDescent="0.25">
      <c r="E2558" s="2"/>
      <c r="G2558" s="7"/>
      <c r="H2558" s="7"/>
      <c r="I2558" s="7"/>
      <c r="J2558" s="7"/>
      <c r="K2558" s="7"/>
      <c r="L2558" s="7"/>
      <c r="N2558" s="6"/>
      <c r="O2558" s="3"/>
      <c r="P2558" s="3"/>
      <c r="Q2558" s="3"/>
    </row>
    <row r="2559" spans="5:17" x14ac:dyDescent="0.25">
      <c r="E2559" s="2"/>
      <c r="G2559" s="7"/>
      <c r="H2559" s="7"/>
      <c r="I2559" s="7"/>
      <c r="J2559" s="7"/>
      <c r="K2559" s="7"/>
      <c r="L2559" s="7"/>
      <c r="N2559" s="6"/>
      <c r="O2559" s="3"/>
      <c r="P2559" s="3"/>
      <c r="Q2559" s="3"/>
    </row>
    <row r="2560" spans="5:17" x14ac:dyDescent="0.25">
      <c r="E2560" s="2"/>
      <c r="G2560" s="7"/>
      <c r="H2560" s="7"/>
      <c r="I2560" s="7"/>
      <c r="J2560" s="7"/>
      <c r="K2560" s="7"/>
      <c r="L2560" s="7"/>
      <c r="N2560" s="6"/>
      <c r="O2560" s="3"/>
      <c r="P2560" s="3"/>
      <c r="Q2560" s="3"/>
    </row>
    <row r="2561" spans="5:17" x14ac:dyDescent="0.25">
      <c r="E2561" s="2"/>
      <c r="G2561" s="7"/>
      <c r="H2561" s="7"/>
      <c r="I2561" s="7"/>
      <c r="J2561" s="7"/>
      <c r="K2561" s="7"/>
      <c r="L2561" s="7"/>
      <c r="N2561" s="6"/>
      <c r="O2561" s="3"/>
      <c r="P2561" s="3"/>
      <c r="Q2561" s="3"/>
    </row>
    <row r="2562" spans="5:17" x14ac:dyDescent="0.25">
      <c r="E2562" s="2"/>
      <c r="G2562" s="7"/>
      <c r="H2562" s="7"/>
      <c r="I2562" s="7"/>
      <c r="J2562" s="7"/>
      <c r="K2562" s="7"/>
      <c r="L2562" s="7"/>
      <c r="N2562" s="6"/>
      <c r="O2562" s="3"/>
      <c r="P2562" s="3"/>
      <c r="Q2562" s="3"/>
    </row>
    <row r="2563" spans="5:17" x14ac:dyDescent="0.25">
      <c r="E2563" s="2"/>
      <c r="G2563" s="7"/>
      <c r="H2563" s="7"/>
      <c r="I2563" s="7"/>
      <c r="J2563" s="7"/>
      <c r="K2563" s="7"/>
      <c r="L2563" s="7"/>
      <c r="N2563" s="6"/>
      <c r="O2563" s="3"/>
      <c r="P2563" s="3"/>
      <c r="Q2563" s="3"/>
    </row>
    <row r="2564" spans="5:17" x14ac:dyDescent="0.25">
      <c r="E2564" s="2"/>
      <c r="G2564" s="7"/>
      <c r="H2564" s="7"/>
      <c r="I2564" s="7"/>
      <c r="J2564" s="7"/>
      <c r="K2564" s="7"/>
      <c r="L2564" s="7"/>
      <c r="N2564" s="6"/>
      <c r="O2564" s="3"/>
      <c r="P2564" s="3"/>
      <c r="Q2564" s="3"/>
    </row>
    <row r="2565" spans="5:17" x14ac:dyDescent="0.25">
      <c r="E2565" s="2"/>
      <c r="G2565" s="7"/>
      <c r="H2565" s="7"/>
      <c r="I2565" s="7"/>
      <c r="J2565" s="7"/>
      <c r="K2565" s="7"/>
      <c r="L2565" s="7"/>
      <c r="N2565" s="6"/>
      <c r="O2565" s="3"/>
      <c r="P2565" s="3"/>
      <c r="Q2565" s="3"/>
    </row>
    <row r="2566" spans="5:17" x14ac:dyDescent="0.25">
      <c r="E2566" s="2"/>
      <c r="G2566" s="7"/>
      <c r="H2566" s="7"/>
      <c r="I2566" s="7"/>
      <c r="J2566" s="7"/>
      <c r="K2566" s="7"/>
      <c r="L2566" s="7"/>
      <c r="N2566" s="6"/>
      <c r="O2566" s="3"/>
      <c r="P2566" s="3"/>
      <c r="Q2566" s="3"/>
    </row>
    <row r="2567" spans="5:17" x14ac:dyDescent="0.25">
      <c r="E2567" s="2"/>
      <c r="G2567" s="7"/>
      <c r="H2567" s="7"/>
      <c r="I2567" s="7"/>
      <c r="J2567" s="7"/>
      <c r="K2567" s="7"/>
      <c r="L2567" s="7"/>
      <c r="N2567" s="6"/>
      <c r="O2567" s="3"/>
      <c r="P2567" s="3"/>
      <c r="Q2567" s="3"/>
    </row>
    <row r="2568" spans="5:17" x14ac:dyDescent="0.25">
      <c r="E2568" s="2"/>
      <c r="G2568" s="7"/>
      <c r="H2568" s="7"/>
      <c r="I2568" s="7"/>
      <c r="J2568" s="7"/>
      <c r="K2568" s="7"/>
      <c r="L2568" s="7"/>
      <c r="N2568" s="6"/>
      <c r="O2568" s="3"/>
      <c r="P2568" s="3"/>
      <c r="Q2568" s="3"/>
    </row>
    <row r="2569" spans="5:17" x14ac:dyDescent="0.25">
      <c r="E2569" s="2"/>
      <c r="G2569" s="7"/>
      <c r="H2569" s="7"/>
      <c r="I2569" s="7"/>
      <c r="J2569" s="7"/>
      <c r="K2569" s="7"/>
      <c r="L2569" s="7"/>
      <c r="N2569" s="6"/>
      <c r="O2569" s="3"/>
      <c r="P2569" s="3"/>
      <c r="Q2569" s="3"/>
    </row>
    <row r="2570" spans="5:17" x14ac:dyDescent="0.25">
      <c r="E2570" s="2"/>
      <c r="G2570" s="7"/>
      <c r="H2570" s="7"/>
      <c r="I2570" s="7"/>
      <c r="J2570" s="7"/>
      <c r="K2570" s="7"/>
      <c r="L2570" s="7"/>
      <c r="N2570" s="6"/>
      <c r="O2570" s="3"/>
      <c r="P2570" s="3"/>
      <c r="Q2570" s="3"/>
    </row>
    <row r="2571" spans="5:17" x14ac:dyDescent="0.25">
      <c r="E2571" s="2"/>
      <c r="G2571" s="7"/>
      <c r="H2571" s="7"/>
      <c r="I2571" s="7"/>
      <c r="J2571" s="7"/>
      <c r="K2571" s="7"/>
      <c r="L2571" s="7"/>
      <c r="N2571" s="6"/>
      <c r="O2571" s="3"/>
      <c r="P2571" s="3"/>
      <c r="Q2571" s="3"/>
    </row>
    <row r="2572" spans="5:17" x14ac:dyDescent="0.25">
      <c r="E2572" s="2"/>
      <c r="G2572" s="7"/>
      <c r="H2572" s="7"/>
      <c r="I2572" s="7"/>
      <c r="J2572" s="7"/>
      <c r="K2572" s="7"/>
      <c r="L2572" s="7"/>
      <c r="N2572" s="6"/>
      <c r="O2572" s="3"/>
      <c r="P2572" s="3"/>
      <c r="Q2572" s="3"/>
    </row>
    <row r="2573" spans="5:17" x14ac:dyDescent="0.25">
      <c r="E2573" s="2"/>
      <c r="G2573" s="7"/>
      <c r="H2573" s="7"/>
      <c r="I2573" s="7"/>
      <c r="J2573" s="7"/>
      <c r="K2573" s="7"/>
      <c r="L2573" s="7"/>
      <c r="N2573" s="6"/>
      <c r="O2573" s="3"/>
      <c r="P2573" s="3"/>
      <c r="Q2573" s="3"/>
    </row>
    <row r="2574" spans="5:17" x14ac:dyDescent="0.25">
      <c r="E2574" s="2"/>
      <c r="G2574" s="7"/>
      <c r="H2574" s="7"/>
      <c r="I2574" s="7"/>
      <c r="J2574" s="7"/>
      <c r="K2574" s="7"/>
      <c r="L2574" s="7"/>
      <c r="N2574" s="6"/>
      <c r="O2574" s="3"/>
      <c r="P2574" s="3"/>
      <c r="Q2574" s="3"/>
    </row>
    <row r="2575" spans="5:17" x14ac:dyDescent="0.25">
      <c r="E2575" s="2"/>
      <c r="G2575" s="7"/>
      <c r="H2575" s="7"/>
      <c r="I2575" s="7"/>
      <c r="J2575" s="7"/>
      <c r="K2575" s="7"/>
      <c r="L2575" s="7"/>
      <c r="N2575" s="6"/>
      <c r="O2575" s="3"/>
      <c r="P2575" s="3"/>
      <c r="Q2575" s="3"/>
    </row>
    <row r="2576" spans="5:17" x14ac:dyDescent="0.25">
      <c r="E2576" s="2"/>
      <c r="G2576" s="7"/>
      <c r="H2576" s="7"/>
      <c r="I2576" s="7"/>
      <c r="J2576" s="7"/>
      <c r="K2576" s="7"/>
      <c r="L2576" s="7"/>
      <c r="N2576" s="6"/>
      <c r="O2576" s="3"/>
      <c r="P2576" s="3"/>
      <c r="Q2576" s="3"/>
    </row>
    <row r="2577" spans="5:17" x14ac:dyDescent="0.25">
      <c r="E2577" s="2"/>
      <c r="G2577" s="7"/>
      <c r="H2577" s="7"/>
      <c r="I2577" s="7"/>
      <c r="J2577" s="7"/>
      <c r="K2577" s="7"/>
      <c r="L2577" s="7"/>
      <c r="N2577" s="6"/>
      <c r="O2577" s="3"/>
      <c r="P2577" s="3"/>
      <c r="Q2577" s="3"/>
    </row>
    <row r="2578" spans="5:17" x14ac:dyDescent="0.25">
      <c r="E2578" s="2"/>
      <c r="G2578" s="7"/>
      <c r="H2578" s="7"/>
      <c r="I2578" s="7"/>
      <c r="J2578" s="7"/>
      <c r="K2578" s="7"/>
      <c r="L2578" s="7"/>
      <c r="N2578" s="6"/>
      <c r="O2578" s="3"/>
      <c r="P2578" s="3"/>
      <c r="Q2578" s="3"/>
    </row>
    <row r="2579" spans="5:17" x14ac:dyDescent="0.25">
      <c r="E2579" s="2"/>
      <c r="G2579" s="7"/>
      <c r="H2579" s="7"/>
      <c r="I2579" s="7"/>
      <c r="J2579" s="7"/>
      <c r="K2579" s="7"/>
      <c r="L2579" s="7"/>
      <c r="N2579" s="6"/>
      <c r="O2579" s="3"/>
      <c r="P2579" s="3"/>
      <c r="Q2579" s="3"/>
    </row>
    <row r="2580" spans="5:17" x14ac:dyDescent="0.25">
      <c r="E2580" s="2"/>
      <c r="G2580" s="7"/>
      <c r="H2580" s="7"/>
      <c r="I2580" s="7"/>
      <c r="J2580" s="7"/>
      <c r="K2580" s="7"/>
      <c r="L2580" s="7"/>
      <c r="N2580" s="6"/>
      <c r="O2580" s="3"/>
      <c r="P2580" s="3"/>
      <c r="Q2580" s="3"/>
    </row>
    <row r="2581" spans="5:17" x14ac:dyDescent="0.25">
      <c r="E2581" s="2"/>
      <c r="G2581" s="7"/>
      <c r="H2581" s="7"/>
      <c r="I2581" s="7"/>
      <c r="J2581" s="7"/>
      <c r="K2581" s="7"/>
      <c r="L2581" s="7"/>
      <c r="N2581" s="6"/>
      <c r="O2581" s="3"/>
      <c r="P2581" s="3"/>
      <c r="Q2581" s="3"/>
    </row>
    <row r="2582" spans="5:17" x14ac:dyDescent="0.25">
      <c r="E2582" s="2"/>
      <c r="G2582" s="7"/>
      <c r="H2582" s="7"/>
      <c r="I2582" s="7"/>
      <c r="J2582" s="7"/>
      <c r="K2582" s="7"/>
      <c r="L2582" s="7"/>
      <c r="N2582" s="6"/>
      <c r="O2582" s="3"/>
      <c r="P2582" s="3"/>
      <c r="Q2582" s="3"/>
    </row>
    <row r="2583" spans="5:17" x14ac:dyDescent="0.25">
      <c r="E2583" s="2"/>
      <c r="G2583" s="7"/>
      <c r="H2583" s="7"/>
      <c r="I2583" s="7"/>
      <c r="J2583" s="7"/>
      <c r="K2583" s="7"/>
      <c r="L2583" s="7"/>
      <c r="N2583" s="6"/>
      <c r="O2583" s="3"/>
      <c r="P2583" s="3"/>
      <c r="Q2583" s="3"/>
    </row>
    <row r="2584" spans="5:17" x14ac:dyDescent="0.25">
      <c r="E2584" s="2"/>
      <c r="G2584" s="7"/>
      <c r="H2584" s="7"/>
      <c r="I2584" s="7"/>
      <c r="J2584" s="7"/>
      <c r="K2584" s="7"/>
      <c r="L2584" s="7"/>
      <c r="N2584" s="6"/>
      <c r="O2584" s="3"/>
      <c r="P2584" s="3"/>
      <c r="Q2584" s="3"/>
    </row>
    <row r="2585" spans="5:17" x14ac:dyDescent="0.25">
      <c r="E2585" s="2"/>
      <c r="G2585" s="7"/>
      <c r="H2585" s="7"/>
      <c r="I2585" s="7"/>
      <c r="J2585" s="7"/>
      <c r="K2585" s="7"/>
      <c r="L2585" s="7"/>
      <c r="N2585" s="6"/>
      <c r="O2585" s="3"/>
      <c r="P2585" s="3"/>
      <c r="Q2585" s="3"/>
    </row>
    <row r="2586" spans="5:17" x14ac:dyDescent="0.25">
      <c r="E2586" s="2"/>
      <c r="G2586" s="7"/>
      <c r="H2586" s="7"/>
      <c r="I2586" s="7"/>
      <c r="J2586" s="7"/>
      <c r="K2586" s="7"/>
      <c r="L2586" s="7"/>
      <c r="N2586" s="6"/>
      <c r="O2586" s="3"/>
      <c r="P2586" s="3"/>
      <c r="Q2586" s="3"/>
    </row>
    <row r="2587" spans="5:17" x14ac:dyDescent="0.25">
      <c r="E2587" s="2"/>
      <c r="G2587" s="7"/>
      <c r="H2587" s="7"/>
      <c r="I2587" s="7"/>
      <c r="J2587" s="7"/>
      <c r="K2587" s="7"/>
      <c r="L2587" s="7"/>
      <c r="N2587" s="6"/>
      <c r="O2587" s="3"/>
      <c r="P2587" s="3"/>
      <c r="Q2587" s="3"/>
    </row>
    <row r="2588" spans="5:17" x14ac:dyDescent="0.25">
      <c r="E2588" s="2"/>
      <c r="G2588" s="7"/>
      <c r="H2588" s="7"/>
      <c r="I2588" s="7"/>
      <c r="J2588" s="7"/>
      <c r="K2588" s="7"/>
      <c r="L2588" s="7"/>
      <c r="N2588" s="6"/>
      <c r="O2588" s="3"/>
      <c r="P2588" s="3"/>
      <c r="Q2588" s="3"/>
    </row>
    <row r="2589" spans="5:17" x14ac:dyDescent="0.25">
      <c r="E2589" s="2"/>
      <c r="G2589" s="7"/>
      <c r="H2589" s="7"/>
      <c r="I2589" s="7"/>
      <c r="J2589" s="7"/>
      <c r="K2589" s="7"/>
      <c r="L2589" s="7"/>
      <c r="N2589" s="6"/>
      <c r="O2589" s="3"/>
      <c r="P2589" s="3"/>
      <c r="Q2589" s="3"/>
    </row>
    <row r="2590" spans="5:17" x14ac:dyDescent="0.25">
      <c r="E2590" s="2"/>
      <c r="G2590" s="7"/>
      <c r="H2590" s="7"/>
      <c r="I2590" s="7"/>
      <c r="J2590" s="7"/>
      <c r="K2590" s="7"/>
      <c r="L2590" s="7"/>
      <c r="N2590" s="6"/>
      <c r="O2590" s="3"/>
      <c r="P2590" s="3"/>
      <c r="Q2590" s="3"/>
    </row>
    <row r="2591" spans="5:17" x14ac:dyDescent="0.25">
      <c r="E2591" s="2"/>
      <c r="G2591" s="7"/>
      <c r="H2591" s="7"/>
      <c r="I2591" s="7"/>
      <c r="J2591" s="7"/>
      <c r="K2591" s="7"/>
      <c r="L2591" s="7"/>
      <c r="N2591" s="6"/>
      <c r="O2591" s="3"/>
      <c r="P2591" s="3"/>
      <c r="Q2591" s="3"/>
    </row>
    <row r="2592" spans="5:17" x14ac:dyDescent="0.25">
      <c r="E2592" s="2"/>
      <c r="G2592" s="7"/>
      <c r="H2592" s="7"/>
      <c r="I2592" s="7"/>
      <c r="J2592" s="7"/>
      <c r="K2592" s="7"/>
      <c r="L2592" s="7"/>
      <c r="N2592" s="6"/>
      <c r="O2592" s="3"/>
      <c r="P2592" s="3"/>
      <c r="Q2592" s="3"/>
    </row>
    <row r="2593" spans="5:17" x14ac:dyDescent="0.25">
      <c r="E2593" s="2"/>
      <c r="G2593" s="7"/>
      <c r="H2593" s="7"/>
      <c r="I2593" s="7"/>
      <c r="J2593" s="7"/>
      <c r="K2593" s="7"/>
      <c r="L2593" s="7"/>
      <c r="N2593" s="6"/>
      <c r="O2593" s="3"/>
      <c r="P2593" s="3"/>
      <c r="Q2593" s="3"/>
    </row>
    <row r="2594" spans="5:17" x14ac:dyDescent="0.25">
      <c r="E2594" s="2"/>
      <c r="G2594" s="7"/>
      <c r="H2594" s="7"/>
      <c r="I2594" s="7"/>
      <c r="J2594" s="7"/>
      <c r="K2594" s="7"/>
      <c r="L2594" s="7"/>
      <c r="N2594" s="6"/>
      <c r="O2594" s="3"/>
      <c r="P2594" s="3"/>
      <c r="Q2594" s="3"/>
    </row>
    <row r="2595" spans="5:17" x14ac:dyDescent="0.25">
      <c r="E2595" s="2"/>
      <c r="G2595" s="7"/>
      <c r="H2595" s="7"/>
      <c r="I2595" s="7"/>
      <c r="J2595" s="7"/>
      <c r="K2595" s="7"/>
      <c r="L2595" s="7"/>
      <c r="N2595" s="6"/>
      <c r="O2595" s="3"/>
      <c r="P2595" s="3"/>
      <c r="Q2595" s="3"/>
    </row>
    <row r="2596" spans="5:17" x14ac:dyDescent="0.25">
      <c r="E2596" s="2"/>
      <c r="G2596" s="7"/>
      <c r="H2596" s="7"/>
      <c r="I2596" s="7"/>
      <c r="J2596" s="7"/>
      <c r="K2596" s="7"/>
      <c r="L2596" s="7"/>
      <c r="N2596" s="6"/>
      <c r="O2596" s="3"/>
      <c r="P2596" s="3"/>
      <c r="Q2596" s="3"/>
    </row>
    <row r="2597" spans="5:17" x14ac:dyDescent="0.25">
      <c r="E2597" s="2"/>
      <c r="G2597" s="7"/>
      <c r="H2597" s="7"/>
      <c r="I2597" s="7"/>
      <c r="J2597" s="7"/>
      <c r="K2597" s="7"/>
      <c r="L2597" s="7"/>
      <c r="N2597" s="6"/>
      <c r="O2597" s="3"/>
      <c r="P2597" s="3"/>
      <c r="Q2597" s="3"/>
    </row>
    <row r="2598" spans="5:17" x14ac:dyDescent="0.25">
      <c r="E2598" s="2"/>
      <c r="G2598" s="7"/>
      <c r="H2598" s="7"/>
      <c r="I2598" s="7"/>
      <c r="J2598" s="7"/>
      <c r="K2598" s="7"/>
      <c r="L2598" s="7"/>
      <c r="N2598" s="6"/>
      <c r="O2598" s="3"/>
      <c r="P2598" s="3"/>
      <c r="Q2598" s="3"/>
    </row>
    <row r="2599" spans="5:17" x14ac:dyDescent="0.25">
      <c r="E2599" s="2"/>
      <c r="G2599" s="7"/>
      <c r="H2599" s="7"/>
      <c r="I2599" s="7"/>
      <c r="J2599" s="7"/>
      <c r="K2599" s="7"/>
      <c r="L2599" s="7"/>
      <c r="N2599" s="6"/>
      <c r="O2599" s="3"/>
      <c r="P2599" s="3"/>
      <c r="Q2599" s="3"/>
    </row>
    <row r="2600" spans="5:17" x14ac:dyDescent="0.25">
      <c r="E2600" s="2"/>
      <c r="G2600" s="7"/>
      <c r="H2600" s="7"/>
      <c r="I2600" s="7"/>
      <c r="J2600" s="7"/>
      <c r="K2600" s="7"/>
      <c r="L2600" s="7"/>
      <c r="N2600" s="6"/>
      <c r="O2600" s="3"/>
      <c r="P2600" s="3"/>
      <c r="Q2600" s="3"/>
    </row>
    <row r="2601" spans="5:17" x14ac:dyDescent="0.25">
      <c r="E2601" s="2"/>
      <c r="G2601" s="7"/>
      <c r="H2601" s="7"/>
      <c r="I2601" s="7"/>
      <c r="J2601" s="7"/>
      <c r="K2601" s="7"/>
      <c r="L2601" s="7"/>
      <c r="N2601" s="6"/>
      <c r="O2601" s="3"/>
      <c r="P2601" s="3"/>
      <c r="Q2601" s="3"/>
    </row>
    <row r="2602" spans="5:17" x14ac:dyDescent="0.25">
      <c r="E2602" s="2"/>
      <c r="G2602" s="7"/>
      <c r="H2602" s="7"/>
      <c r="I2602" s="7"/>
      <c r="J2602" s="7"/>
      <c r="K2602" s="7"/>
      <c r="L2602" s="7"/>
      <c r="N2602" s="6"/>
      <c r="O2602" s="3"/>
      <c r="P2602" s="3"/>
      <c r="Q2602" s="3"/>
    </row>
    <row r="2603" spans="5:17" x14ac:dyDescent="0.25">
      <c r="E2603" s="2"/>
      <c r="G2603" s="7"/>
      <c r="H2603" s="7"/>
      <c r="I2603" s="7"/>
      <c r="J2603" s="7"/>
      <c r="K2603" s="7"/>
      <c r="L2603" s="7"/>
      <c r="N2603" s="6"/>
      <c r="O2603" s="3"/>
      <c r="P2603" s="3"/>
      <c r="Q2603" s="3"/>
    </row>
    <row r="2604" spans="5:17" x14ac:dyDescent="0.25">
      <c r="E2604" s="2"/>
      <c r="G2604" s="7"/>
      <c r="H2604" s="7"/>
      <c r="I2604" s="7"/>
      <c r="J2604" s="7"/>
      <c r="K2604" s="7"/>
      <c r="L2604" s="7"/>
      <c r="N2604" s="6"/>
      <c r="O2604" s="3"/>
      <c r="P2604" s="3"/>
      <c r="Q2604" s="3"/>
    </row>
    <row r="2605" spans="5:17" x14ac:dyDescent="0.25">
      <c r="E2605" s="2"/>
      <c r="G2605" s="7"/>
      <c r="H2605" s="7"/>
      <c r="I2605" s="7"/>
      <c r="J2605" s="7"/>
      <c r="K2605" s="7"/>
      <c r="L2605" s="7"/>
      <c r="N2605" s="6"/>
      <c r="O2605" s="3"/>
      <c r="P2605" s="3"/>
      <c r="Q2605" s="3"/>
    </row>
    <row r="2606" spans="5:17" x14ac:dyDescent="0.25">
      <c r="E2606" s="2"/>
      <c r="G2606" s="7"/>
      <c r="H2606" s="7"/>
      <c r="I2606" s="7"/>
      <c r="J2606" s="7"/>
      <c r="K2606" s="7"/>
      <c r="L2606" s="7"/>
      <c r="N2606" s="6"/>
      <c r="O2606" s="3"/>
      <c r="P2606" s="3"/>
      <c r="Q2606" s="3"/>
    </row>
    <row r="2607" spans="5:17" x14ac:dyDescent="0.25">
      <c r="E2607" s="2"/>
      <c r="G2607" s="7"/>
      <c r="H2607" s="7"/>
      <c r="I2607" s="7"/>
      <c r="J2607" s="7"/>
      <c r="K2607" s="7"/>
      <c r="L2607" s="7"/>
      <c r="N2607" s="6"/>
      <c r="O2607" s="3"/>
      <c r="P2607" s="3"/>
      <c r="Q2607" s="3"/>
    </row>
    <row r="2608" spans="5:17" x14ac:dyDescent="0.25">
      <c r="E2608" s="2"/>
      <c r="G2608" s="7"/>
      <c r="H2608" s="7"/>
      <c r="I2608" s="7"/>
      <c r="J2608" s="7"/>
      <c r="K2608" s="7"/>
      <c r="L2608" s="7"/>
      <c r="N2608" s="6"/>
      <c r="O2608" s="3"/>
      <c r="P2608" s="3"/>
      <c r="Q2608" s="3"/>
    </row>
    <row r="2609" spans="5:17" x14ac:dyDescent="0.25">
      <c r="E2609" s="2"/>
      <c r="G2609" s="7"/>
      <c r="H2609" s="7"/>
      <c r="I2609" s="7"/>
      <c r="J2609" s="7"/>
      <c r="K2609" s="7"/>
      <c r="L2609" s="7"/>
      <c r="N2609" s="6"/>
      <c r="O2609" s="3"/>
      <c r="P2609" s="3"/>
      <c r="Q2609" s="3"/>
    </row>
    <row r="2610" spans="5:17" x14ac:dyDescent="0.25">
      <c r="E2610" s="2"/>
      <c r="G2610" s="7"/>
      <c r="H2610" s="7"/>
      <c r="I2610" s="7"/>
      <c r="J2610" s="7"/>
      <c r="K2610" s="7"/>
      <c r="L2610" s="7"/>
      <c r="N2610" s="6"/>
      <c r="O2610" s="3"/>
      <c r="P2610" s="3"/>
      <c r="Q2610" s="3"/>
    </row>
    <row r="2611" spans="5:17" x14ac:dyDescent="0.25">
      <c r="E2611" s="2"/>
      <c r="G2611" s="7"/>
      <c r="H2611" s="7"/>
      <c r="I2611" s="7"/>
      <c r="J2611" s="7"/>
      <c r="K2611" s="7"/>
      <c r="L2611" s="7"/>
      <c r="N2611" s="6"/>
      <c r="O2611" s="3"/>
      <c r="P2611" s="3"/>
      <c r="Q2611" s="3"/>
    </row>
    <row r="2612" spans="5:17" x14ac:dyDescent="0.25">
      <c r="E2612" s="2"/>
      <c r="G2612" s="7"/>
      <c r="H2612" s="7"/>
      <c r="I2612" s="7"/>
      <c r="J2612" s="7"/>
      <c r="K2612" s="7"/>
      <c r="L2612" s="7"/>
      <c r="N2612" s="6"/>
      <c r="O2612" s="3"/>
      <c r="P2612" s="3"/>
      <c r="Q2612" s="3"/>
    </row>
    <row r="2613" spans="5:17" x14ac:dyDescent="0.25">
      <c r="E2613" s="2"/>
      <c r="G2613" s="7"/>
      <c r="H2613" s="7"/>
      <c r="I2613" s="7"/>
      <c r="J2613" s="7"/>
      <c r="K2613" s="7"/>
      <c r="L2613" s="7"/>
      <c r="N2613" s="6"/>
      <c r="O2613" s="3"/>
      <c r="P2613" s="3"/>
      <c r="Q2613" s="3"/>
    </row>
    <row r="2614" spans="5:17" x14ac:dyDescent="0.25">
      <c r="E2614" s="2"/>
      <c r="G2614" s="7"/>
      <c r="H2614" s="7"/>
      <c r="I2614" s="7"/>
      <c r="J2614" s="7"/>
      <c r="K2614" s="7"/>
      <c r="L2614" s="7"/>
      <c r="N2614" s="6"/>
      <c r="O2614" s="3"/>
      <c r="P2614" s="3"/>
      <c r="Q2614" s="3"/>
    </row>
    <row r="2615" spans="5:17" x14ac:dyDescent="0.25">
      <c r="E2615" s="2"/>
      <c r="G2615" s="7"/>
      <c r="H2615" s="7"/>
      <c r="I2615" s="7"/>
      <c r="J2615" s="7"/>
      <c r="K2615" s="7"/>
      <c r="L2615" s="7"/>
      <c r="N2615" s="6"/>
      <c r="O2615" s="3"/>
      <c r="P2615" s="3"/>
      <c r="Q2615" s="3"/>
    </row>
    <row r="2616" spans="5:17" x14ac:dyDescent="0.25">
      <c r="E2616" s="2"/>
      <c r="G2616" s="7"/>
      <c r="H2616" s="7"/>
      <c r="I2616" s="7"/>
      <c r="J2616" s="7"/>
      <c r="K2616" s="7"/>
      <c r="L2616" s="7"/>
      <c r="N2616" s="6"/>
      <c r="O2616" s="3"/>
      <c r="P2616" s="3"/>
      <c r="Q2616" s="3"/>
    </row>
    <row r="2617" spans="5:17" x14ac:dyDescent="0.25">
      <c r="E2617" s="2"/>
      <c r="G2617" s="7"/>
      <c r="H2617" s="7"/>
      <c r="I2617" s="7"/>
      <c r="J2617" s="7"/>
      <c r="K2617" s="7"/>
      <c r="L2617" s="7"/>
      <c r="N2617" s="6"/>
      <c r="O2617" s="3"/>
      <c r="P2617" s="3"/>
      <c r="Q2617" s="3"/>
    </row>
    <row r="2618" spans="5:17" x14ac:dyDescent="0.25">
      <c r="E2618" s="2"/>
      <c r="G2618" s="7"/>
      <c r="H2618" s="7"/>
      <c r="I2618" s="7"/>
      <c r="J2618" s="7"/>
      <c r="K2618" s="7"/>
      <c r="L2618" s="7"/>
      <c r="N2618" s="6"/>
      <c r="O2618" s="3"/>
      <c r="P2618" s="3"/>
      <c r="Q2618" s="3"/>
    </row>
    <row r="2619" spans="5:17" x14ac:dyDescent="0.25">
      <c r="E2619" s="2"/>
      <c r="G2619" s="7"/>
      <c r="H2619" s="7"/>
      <c r="I2619" s="7"/>
      <c r="J2619" s="7"/>
      <c r="K2619" s="7"/>
      <c r="L2619" s="7"/>
      <c r="N2619" s="6"/>
      <c r="O2619" s="3"/>
      <c r="P2619" s="3"/>
      <c r="Q2619" s="3"/>
    </row>
    <row r="2620" spans="5:17" x14ac:dyDescent="0.25">
      <c r="E2620" s="2"/>
      <c r="G2620" s="7"/>
      <c r="H2620" s="7"/>
      <c r="I2620" s="7"/>
      <c r="J2620" s="7"/>
      <c r="K2620" s="7"/>
      <c r="L2620" s="7"/>
      <c r="N2620" s="6"/>
      <c r="O2620" s="3"/>
      <c r="P2620" s="3"/>
      <c r="Q2620" s="3"/>
    </row>
    <row r="2621" spans="5:17" x14ac:dyDescent="0.25">
      <c r="E2621" s="2"/>
      <c r="G2621" s="7"/>
      <c r="H2621" s="7"/>
      <c r="I2621" s="7"/>
      <c r="J2621" s="7"/>
      <c r="K2621" s="7"/>
      <c r="L2621" s="7"/>
      <c r="N2621" s="6"/>
      <c r="O2621" s="3"/>
      <c r="P2621" s="3"/>
      <c r="Q2621" s="3"/>
    </row>
    <row r="2622" spans="5:17" x14ac:dyDescent="0.25">
      <c r="E2622" s="2"/>
      <c r="G2622" s="7"/>
      <c r="H2622" s="7"/>
      <c r="I2622" s="7"/>
      <c r="J2622" s="7"/>
      <c r="K2622" s="7"/>
      <c r="L2622" s="7"/>
      <c r="N2622" s="6"/>
      <c r="O2622" s="3"/>
      <c r="P2622" s="3"/>
      <c r="Q2622" s="3"/>
    </row>
    <row r="2623" spans="5:17" x14ac:dyDescent="0.25">
      <c r="E2623" s="2"/>
      <c r="G2623" s="7"/>
      <c r="H2623" s="7"/>
      <c r="I2623" s="7"/>
      <c r="J2623" s="7"/>
      <c r="K2623" s="7"/>
      <c r="L2623" s="7"/>
      <c r="N2623" s="6"/>
      <c r="O2623" s="3"/>
      <c r="P2623" s="3"/>
      <c r="Q2623" s="3"/>
    </row>
    <row r="2624" spans="5:17" x14ac:dyDescent="0.25">
      <c r="E2624" s="2"/>
      <c r="G2624" s="7"/>
      <c r="H2624" s="7"/>
      <c r="I2624" s="7"/>
      <c r="J2624" s="7"/>
      <c r="K2624" s="7"/>
      <c r="L2624" s="7"/>
      <c r="N2624" s="6"/>
      <c r="O2624" s="3"/>
      <c r="P2624" s="3"/>
      <c r="Q2624" s="3"/>
    </row>
    <row r="2625" spans="5:17" x14ac:dyDescent="0.25">
      <c r="E2625" s="2"/>
      <c r="G2625" s="7"/>
      <c r="H2625" s="7"/>
      <c r="I2625" s="7"/>
      <c r="J2625" s="7"/>
      <c r="K2625" s="7"/>
      <c r="L2625" s="7"/>
      <c r="N2625" s="6"/>
      <c r="O2625" s="3"/>
      <c r="P2625" s="3"/>
      <c r="Q2625" s="3"/>
    </row>
    <row r="2626" spans="5:17" x14ac:dyDescent="0.25">
      <c r="E2626" s="2"/>
      <c r="G2626" s="7"/>
      <c r="H2626" s="7"/>
      <c r="I2626" s="7"/>
      <c r="J2626" s="7"/>
      <c r="K2626" s="7"/>
      <c r="L2626" s="7"/>
      <c r="N2626" s="6"/>
      <c r="O2626" s="3"/>
      <c r="P2626" s="3"/>
      <c r="Q2626" s="3"/>
    </row>
    <row r="2627" spans="5:17" x14ac:dyDescent="0.25">
      <c r="E2627" s="2"/>
      <c r="G2627" s="7"/>
      <c r="H2627" s="7"/>
      <c r="I2627" s="7"/>
      <c r="J2627" s="7"/>
      <c r="K2627" s="7"/>
      <c r="L2627" s="7"/>
      <c r="N2627" s="6"/>
      <c r="O2627" s="3"/>
      <c r="P2627" s="3"/>
      <c r="Q2627" s="3"/>
    </row>
    <row r="2628" spans="5:17" x14ac:dyDescent="0.25">
      <c r="E2628" s="2"/>
      <c r="G2628" s="7"/>
      <c r="H2628" s="7"/>
      <c r="I2628" s="7"/>
      <c r="J2628" s="7"/>
      <c r="K2628" s="7"/>
      <c r="L2628" s="7"/>
      <c r="N2628" s="6"/>
      <c r="O2628" s="3"/>
      <c r="P2628" s="3"/>
      <c r="Q2628" s="3"/>
    </row>
    <row r="2629" spans="5:17" x14ac:dyDescent="0.25">
      <c r="E2629" s="2"/>
      <c r="G2629" s="7"/>
      <c r="H2629" s="7"/>
      <c r="I2629" s="7"/>
      <c r="J2629" s="7"/>
      <c r="K2629" s="7"/>
      <c r="L2629" s="7"/>
      <c r="N2629" s="6"/>
      <c r="O2629" s="3"/>
      <c r="P2629" s="3"/>
      <c r="Q2629" s="3"/>
    </row>
    <row r="2630" spans="5:17" x14ac:dyDescent="0.25">
      <c r="E2630" s="2"/>
      <c r="G2630" s="7"/>
      <c r="H2630" s="7"/>
      <c r="I2630" s="7"/>
      <c r="J2630" s="7"/>
      <c r="K2630" s="7"/>
      <c r="L2630" s="7"/>
      <c r="N2630" s="6"/>
      <c r="O2630" s="3"/>
      <c r="P2630" s="3"/>
      <c r="Q2630" s="3"/>
    </row>
    <row r="2631" spans="5:17" x14ac:dyDescent="0.25">
      <c r="E2631" s="2"/>
      <c r="G2631" s="7"/>
      <c r="H2631" s="7"/>
      <c r="I2631" s="7"/>
      <c r="J2631" s="7"/>
      <c r="K2631" s="7"/>
      <c r="L2631" s="7"/>
      <c r="N2631" s="6"/>
      <c r="O2631" s="3"/>
      <c r="P2631" s="3"/>
      <c r="Q2631" s="3"/>
    </row>
    <row r="2632" spans="5:17" x14ac:dyDescent="0.25">
      <c r="E2632" s="2"/>
      <c r="G2632" s="7"/>
      <c r="H2632" s="7"/>
      <c r="I2632" s="7"/>
      <c r="J2632" s="7"/>
      <c r="K2632" s="7"/>
      <c r="L2632" s="7"/>
      <c r="N2632" s="6"/>
      <c r="O2632" s="3"/>
      <c r="P2632" s="3"/>
      <c r="Q2632" s="3"/>
    </row>
    <row r="2633" spans="5:17" x14ac:dyDescent="0.25">
      <c r="E2633" s="2"/>
      <c r="G2633" s="7"/>
      <c r="H2633" s="7"/>
      <c r="I2633" s="7"/>
      <c r="J2633" s="7"/>
      <c r="K2633" s="7"/>
      <c r="L2633" s="7"/>
      <c r="N2633" s="6"/>
      <c r="O2633" s="3"/>
      <c r="P2633" s="3"/>
      <c r="Q2633" s="3"/>
    </row>
    <row r="2634" spans="5:17" x14ac:dyDescent="0.25">
      <c r="E2634" s="2"/>
      <c r="G2634" s="7"/>
      <c r="H2634" s="7"/>
      <c r="I2634" s="7"/>
      <c r="J2634" s="7"/>
      <c r="K2634" s="7"/>
      <c r="L2634" s="7"/>
      <c r="N2634" s="6"/>
      <c r="O2634" s="3"/>
      <c r="P2634" s="3"/>
      <c r="Q2634" s="3"/>
    </row>
    <row r="2635" spans="5:17" x14ac:dyDescent="0.25">
      <c r="E2635" s="2"/>
      <c r="G2635" s="7"/>
      <c r="H2635" s="7"/>
      <c r="I2635" s="7"/>
      <c r="J2635" s="7"/>
      <c r="K2635" s="7"/>
      <c r="L2635" s="7"/>
      <c r="N2635" s="6"/>
      <c r="O2635" s="3"/>
      <c r="P2635" s="3"/>
      <c r="Q2635" s="3"/>
    </row>
    <row r="2636" spans="5:17" x14ac:dyDescent="0.25">
      <c r="E2636" s="2"/>
      <c r="G2636" s="7"/>
      <c r="H2636" s="7"/>
      <c r="I2636" s="7"/>
      <c r="J2636" s="7"/>
      <c r="K2636" s="7"/>
      <c r="L2636" s="7"/>
      <c r="N2636" s="6"/>
      <c r="O2636" s="3"/>
      <c r="P2636" s="3"/>
      <c r="Q2636" s="3"/>
    </row>
    <row r="2637" spans="5:17" x14ac:dyDescent="0.25">
      <c r="E2637" s="2"/>
      <c r="G2637" s="7"/>
      <c r="H2637" s="7"/>
      <c r="I2637" s="7"/>
      <c r="J2637" s="7"/>
      <c r="K2637" s="7"/>
      <c r="L2637" s="7"/>
      <c r="N2637" s="6"/>
      <c r="O2637" s="3"/>
      <c r="P2637" s="3"/>
      <c r="Q2637" s="3"/>
    </row>
    <row r="2638" spans="5:17" x14ac:dyDescent="0.25">
      <c r="E2638" s="2"/>
      <c r="G2638" s="7"/>
      <c r="H2638" s="7"/>
      <c r="I2638" s="7"/>
      <c r="J2638" s="7"/>
      <c r="K2638" s="7"/>
      <c r="L2638" s="7"/>
      <c r="N2638" s="6"/>
      <c r="O2638" s="3"/>
      <c r="P2638" s="3"/>
      <c r="Q2638" s="3"/>
    </row>
    <row r="2639" spans="5:17" x14ac:dyDescent="0.25">
      <c r="E2639" s="2"/>
      <c r="G2639" s="7"/>
      <c r="H2639" s="7"/>
      <c r="I2639" s="7"/>
      <c r="J2639" s="7"/>
      <c r="K2639" s="7"/>
      <c r="L2639" s="7"/>
      <c r="N2639" s="6"/>
      <c r="O2639" s="3"/>
      <c r="P2639" s="3"/>
      <c r="Q2639" s="3"/>
    </row>
    <row r="2640" spans="5:17" x14ac:dyDescent="0.25">
      <c r="E2640" s="2"/>
      <c r="G2640" s="7"/>
      <c r="H2640" s="7"/>
      <c r="I2640" s="7"/>
      <c r="J2640" s="7"/>
      <c r="K2640" s="7"/>
      <c r="L2640" s="7"/>
      <c r="N2640" s="6"/>
      <c r="O2640" s="3"/>
      <c r="P2640" s="3"/>
      <c r="Q2640" s="3"/>
    </row>
    <row r="2641" spans="5:17" x14ac:dyDescent="0.25">
      <c r="E2641" s="2"/>
      <c r="G2641" s="7"/>
      <c r="H2641" s="7"/>
      <c r="I2641" s="7"/>
      <c r="J2641" s="7"/>
      <c r="K2641" s="7"/>
      <c r="L2641" s="7"/>
      <c r="N2641" s="6"/>
      <c r="O2641" s="3"/>
      <c r="P2641" s="3"/>
      <c r="Q2641" s="3"/>
    </row>
    <row r="2642" spans="5:17" x14ac:dyDescent="0.25">
      <c r="E2642" s="2"/>
      <c r="G2642" s="7"/>
      <c r="H2642" s="7"/>
      <c r="I2642" s="7"/>
      <c r="J2642" s="7"/>
      <c r="K2642" s="7"/>
      <c r="L2642" s="7"/>
      <c r="N2642" s="6"/>
      <c r="O2642" s="3"/>
      <c r="P2642" s="3"/>
      <c r="Q2642" s="3"/>
    </row>
    <row r="2643" spans="5:17" x14ac:dyDescent="0.25">
      <c r="E2643" s="2"/>
      <c r="G2643" s="7"/>
      <c r="H2643" s="7"/>
      <c r="I2643" s="7"/>
      <c r="J2643" s="7"/>
      <c r="K2643" s="7"/>
      <c r="L2643" s="7"/>
      <c r="N2643" s="6"/>
      <c r="O2643" s="3"/>
      <c r="P2643" s="3"/>
      <c r="Q2643" s="3"/>
    </row>
    <row r="2644" spans="5:17" x14ac:dyDescent="0.25">
      <c r="E2644" s="2"/>
      <c r="G2644" s="7"/>
      <c r="H2644" s="7"/>
      <c r="I2644" s="7"/>
      <c r="J2644" s="7"/>
      <c r="K2644" s="7"/>
      <c r="L2644" s="7"/>
      <c r="N2644" s="6"/>
      <c r="O2644" s="3"/>
      <c r="P2644" s="3"/>
      <c r="Q2644" s="3"/>
    </row>
    <row r="2645" spans="5:17" x14ac:dyDescent="0.25">
      <c r="E2645" s="2"/>
      <c r="G2645" s="7"/>
      <c r="H2645" s="7"/>
      <c r="I2645" s="7"/>
      <c r="J2645" s="7"/>
      <c r="K2645" s="7"/>
      <c r="L2645" s="7"/>
      <c r="N2645" s="6"/>
      <c r="O2645" s="3"/>
      <c r="P2645" s="3"/>
      <c r="Q2645" s="3"/>
    </row>
    <row r="2646" spans="5:17" x14ac:dyDescent="0.25">
      <c r="E2646" s="2"/>
      <c r="G2646" s="7"/>
      <c r="H2646" s="7"/>
      <c r="I2646" s="7"/>
      <c r="J2646" s="7"/>
      <c r="K2646" s="7"/>
      <c r="L2646" s="7"/>
      <c r="N2646" s="6"/>
      <c r="O2646" s="3"/>
      <c r="P2646" s="3"/>
      <c r="Q2646" s="3"/>
    </row>
    <row r="2647" spans="5:17" x14ac:dyDescent="0.25">
      <c r="E2647" s="2"/>
      <c r="G2647" s="7"/>
      <c r="H2647" s="7"/>
      <c r="I2647" s="7"/>
      <c r="J2647" s="7"/>
      <c r="K2647" s="7"/>
      <c r="L2647" s="7"/>
      <c r="N2647" s="6"/>
      <c r="O2647" s="3"/>
      <c r="P2647" s="3"/>
      <c r="Q2647" s="3"/>
    </row>
    <row r="2648" spans="5:17" x14ac:dyDescent="0.25">
      <c r="E2648" s="2"/>
      <c r="G2648" s="7"/>
      <c r="H2648" s="7"/>
      <c r="I2648" s="7"/>
      <c r="J2648" s="7"/>
      <c r="K2648" s="7"/>
      <c r="L2648" s="7"/>
      <c r="N2648" s="6"/>
      <c r="O2648" s="3"/>
      <c r="P2648" s="3"/>
      <c r="Q2648" s="3"/>
    </row>
    <row r="2649" spans="5:17" x14ac:dyDescent="0.25">
      <c r="E2649" s="2"/>
      <c r="G2649" s="7"/>
      <c r="H2649" s="7"/>
      <c r="I2649" s="7"/>
      <c r="J2649" s="7"/>
      <c r="K2649" s="7"/>
      <c r="L2649" s="7"/>
      <c r="N2649" s="6"/>
      <c r="O2649" s="3"/>
      <c r="P2649" s="3"/>
      <c r="Q2649" s="3"/>
    </row>
    <row r="2650" spans="5:17" x14ac:dyDescent="0.25">
      <c r="E2650" s="2"/>
      <c r="G2650" s="7"/>
      <c r="H2650" s="7"/>
      <c r="I2650" s="7"/>
      <c r="J2650" s="7"/>
      <c r="K2650" s="7"/>
      <c r="L2650" s="7"/>
      <c r="N2650" s="6"/>
      <c r="O2650" s="3"/>
      <c r="P2650" s="3"/>
      <c r="Q2650" s="3"/>
    </row>
    <row r="2651" spans="5:17" x14ac:dyDescent="0.25">
      <c r="E2651" s="2"/>
      <c r="G2651" s="7"/>
      <c r="H2651" s="7"/>
      <c r="I2651" s="7"/>
      <c r="J2651" s="7"/>
      <c r="K2651" s="7"/>
      <c r="L2651" s="7"/>
      <c r="N2651" s="6"/>
      <c r="O2651" s="3"/>
      <c r="P2651" s="3"/>
      <c r="Q2651" s="3"/>
    </row>
    <row r="2652" spans="5:17" x14ac:dyDescent="0.25">
      <c r="E2652" s="2"/>
      <c r="G2652" s="7"/>
      <c r="H2652" s="7"/>
      <c r="I2652" s="7"/>
      <c r="J2652" s="7"/>
      <c r="K2652" s="7"/>
      <c r="L2652" s="7"/>
      <c r="N2652" s="6"/>
      <c r="O2652" s="3"/>
      <c r="P2652" s="3"/>
      <c r="Q2652" s="3"/>
    </row>
    <row r="2653" spans="5:17" x14ac:dyDescent="0.25">
      <c r="E2653" s="2"/>
      <c r="G2653" s="7"/>
      <c r="H2653" s="7"/>
      <c r="I2653" s="7"/>
      <c r="J2653" s="7"/>
      <c r="K2653" s="7"/>
      <c r="L2653" s="7"/>
      <c r="N2653" s="6"/>
      <c r="O2653" s="3"/>
      <c r="P2653" s="3"/>
      <c r="Q2653" s="3"/>
    </row>
    <row r="2654" spans="5:17" x14ac:dyDescent="0.25">
      <c r="E2654" s="2"/>
      <c r="G2654" s="7"/>
      <c r="H2654" s="7"/>
      <c r="I2654" s="7"/>
      <c r="J2654" s="7"/>
      <c r="K2654" s="7"/>
      <c r="L2654" s="7"/>
      <c r="N2654" s="6"/>
      <c r="O2654" s="3"/>
      <c r="P2654" s="3"/>
      <c r="Q2654" s="3"/>
    </row>
    <row r="2655" spans="5:17" x14ac:dyDescent="0.25">
      <c r="E2655" s="2"/>
      <c r="G2655" s="7"/>
      <c r="H2655" s="7"/>
      <c r="I2655" s="7"/>
      <c r="J2655" s="7"/>
      <c r="K2655" s="7"/>
      <c r="L2655" s="7"/>
      <c r="N2655" s="6"/>
      <c r="O2655" s="3"/>
      <c r="P2655" s="3"/>
      <c r="Q2655" s="3"/>
    </row>
    <row r="2656" spans="5:17" x14ac:dyDescent="0.25">
      <c r="E2656" s="2"/>
      <c r="G2656" s="7"/>
      <c r="H2656" s="7"/>
      <c r="I2656" s="7"/>
      <c r="J2656" s="7"/>
      <c r="K2656" s="7"/>
      <c r="L2656" s="7"/>
      <c r="N2656" s="6"/>
      <c r="O2656" s="3"/>
      <c r="P2656" s="3"/>
      <c r="Q2656" s="3"/>
    </row>
    <row r="2657" spans="5:17" x14ac:dyDescent="0.25">
      <c r="E2657" s="2"/>
      <c r="G2657" s="7"/>
      <c r="H2657" s="7"/>
      <c r="I2657" s="7"/>
      <c r="J2657" s="7"/>
      <c r="K2657" s="7"/>
      <c r="L2657" s="7"/>
      <c r="N2657" s="6"/>
      <c r="O2657" s="3"/>
      <c r="P2657" s="3"/>
      <c r="Q2657" s="3"/>
    </row>
    <row r="2658" spans="5:17" x14ac:dyDescent="0.25">
      <c r="E2658" s="2"/>
      <c r="G2658" s="7"/>
      <c r="H2658" s="7"/>
      <c r="I2658" s="7"/>
      <c r="J2658" s="7"/>
      <c r="K2658" s="7"/>
      <c r="L2658" s="7"/>
      <c r="N2658" s="6"/>
      <c r="O2658" s="3"/>
      <c r="P2658" s="3"/>
      <c r="Q2658" s="3"/>
    </row>
    <row r="2659" spans="5:17" x14ac:dyDescent="0.25">
      <c r="E2659" s="2"/>
      <c r="G2659" s="7"/>
      <c r="H2659" s="7"/>
      <c r="I2659" s="7"/>
      <c r="J2659" s="7"/>
      <c r="K2659" s="7"/>
      <c r="L2659" s="7"/>
      <c r="N2659" s="6"/>
      <c r="O2659" s="3"/>
      <c r="P2659" s="3"/>
      <c r="Q2659" s="3"/>
    </row>
    <row r="2660" spans="5:17" x14ac:dyDescent="0.25">
      <c r="E2660" s="2"/>
      <c r="G2660" s="7"/>
      <c r="H2660" s="7"/>
      <c r="I2660" s="7"/>
      <c r="J2660" s="7"/>
      <c r="K2660" s="7"/>
      <c r="L2660" s="7"/>
      <c r="N2660" s="6"/>
      <c r="O2660" s="3"/>
      <c r="P2660" s="3"/>
      <c r="Q2660" s="3"/>
    </row>
    <row r="2661" spans="5:17" x14ac:dyDescent="0.25">
      <c r="E2661" s="2"/>
      <c r="G2661" s="7"/>
      <c r="H2661" s="7"/>
      <c r="I2661" s="7"/>
      <c r="J2661" s="7"/>
      <c r="K2661" s="7"/>
      <c r="L2661" s="7"/>
      <c r="N2661" s="6"/>
      <c r="O2661" s="3"/>
      <c r="P2661" s="3"/>
      <c r="Q2661" s="3"/>
    </row>
    <row r="2662" spans="5:17" x14ac:dyDescent="0.25">
      <c r="E2662" s="2"/>
      <c r="G2662" s="7"/>
      <c r="H2662" s="7"/>
      <c r="I2662" s="7"/>
      <c r="J2662" s="7"/>
      <c r="K2662" s="7"/>
      <c r="L2662" s="7"/>
      <c r="N2662" s="6"/>
      <c r="O2662" s="3"/>
      <c r="P2662" s="3"/>
      <c r="Q2662" s="3"/>
    </row>
    <row r="2663" spans="5:17" x14ac:dyDescent="0.25">
      <c r="E2663" s="2"/>
      <c r="G2663" s="7"/>
      <c r="H2663" s="7"/>
      <c r="I2663" s="7"/>
      <c r="J2663" s="7"/>
      <c r="K2663" s="7"/>
      <c r="L2663" s="7"/>
      <c r="N2663" s="6"/>
      <c r="O2663" s="3"/>
      <c r="P2663" s="3"/>
      <c r="Q2663" s="3"/>
    </row>
    <row r="2664" spans="5:17" x14ac:dyDescent="0.25">
      <c r="E2664" s="2"/>
      <c r="G2664" s="7"/>
      <c r="H2664" s="7"/>
      <c r="I2664" s="7"/>
      <c r="J2664" s="7"/>
      <c r="K2664" s="7"/>
      <c r="L2664" s="7"/>
      <c r="N2664" s="6"/>
      <c r="O2664" s="3"/>
      <c r="P2664" s="3"/>
      <c r="Q2664" s="3"/>
    </row>
    <row r="2665" spans="5:17" x14ac:dyDescent="0.25">
      <c r="E2665" s="2"/>
      <c r="G2665" s="7"/>
      <c r="H2665" s="7"/>
      <c r="I2665" s="7"/>
      <c r="J2665" s="7"/>
      <c r="K2665" s="7"/>
      <c r="L2665" s="7"/>
      <c r="N2665" s="6"/>
      <c r="O2665" s="3"/>
      <c r="P2665" s="3"/>
      <c r="Q2665" s="3"/>
    </row>
    <row r="2666" spans="5:17" x14ac:dyDescent="0.25">
      <c r="E2666" s="2"/>
      <c r="G2666" s="7"/>
      <c r="H2666" s="7"/>
      <c r="I2666" s="7"/>
      <c r="J2666" s="7"/>
      <c r="K2666" s="7"/>
      <c r="L2666" s="7"/>
      <c r="N2666" s="6"/>
      <c r="O2666" s="3"/>
      <c r="P2666" s="3"/>
      <c r="Q2666" s="3"/>
    </row>
    <row r="2667" spans="5:17" x14ac:dyDescent="0.25">
      <c r="E2667" s="2"/>
      <c r="G2667" s="7"/>
      <c r="H2667" s="7"/>
      <c r="I2667" s="7"/>
      <c r="J2667" s="7"/>
      <c r="K2667" s="7"/>
      <c r="L2667" s="7"/>
      <c r="N2667" s="6"/>
      <c r="O2667" s="3"/>
      <c r="P2667" s="3"/>
      <c r="Q2667" s="3"/>
    </row>
    <row r="2668" spans="5:17" x14ac:dyDescent="0.25">
      <c r="E2668" s="2"/>
      <c r="G2668" s="7"/>
      <c r="H2668" s="7"/>
      <c r="I2668" s="7"/>
      <c r="J2668" s="7"/>
      <c r="K2668" s="7"/>
      <c r="L2668" s="7"/>
      <c r="N2668" s="6"/>
      <c r="O2668" s="3"/>
      <c r="P2668" s="3"/>
      <c r="Q2668" s="3"/>
    </row>
    <row r="2669" spans="5:17" x14ac:dyDescent="0.25">
      <c r="E2669" s="2"/>
      <c r="G2669" s="7"/>
      <c r="H2669" s="7"/>
      <c r="I2669" s="7"/>
      <c r="J2669" s="7"/>
      <c r="K2669" s="7"/>
      <c r="L2669" s="7"/>
      <c r="N2669" s="6"/>
      <c r="O2669" s="3"/>
      <c r="P2669" s="3"/>
      <c r="Q2669" s="3"/>
    </row>
    <row r="2670" spans="5:17" x14ac:dyDescent="0.25">
      <c r="E2670" s="2"/>
      <c r="G2670" s="7"/>
      <c r="H2670" s="7"/>
      <c r="I2670" s="7"/>
      <c r="J2670" s="7"/>
      <c r="K2670" s="7"/>
      <c r="L2670" s="7"/>
      <c r="N2670" s="6"/>
      <c r="O2670" s="3"/>
      <c r="P2670" s="3"/>
      <c r="Q2670" s="3"/>
    </row>
  </sheetData>
  <mergeCells count="1">
    <mergeCell ref="C4:N4"/>
  </mergeCells>
  <hyperlinks>
    <hyperlink ref="R17" r:id="rId1"/>
    <hyperlink ref="R18" r:id="rId2"/>
    <hyperlink ref="R143" r:id="rId3"/>
    <hyperlink ref="R19" r:id="rId4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28" r:id="rId13"/>
    <hyperlink ref="R29" r:id="rId14"/>
    <hyperlink ref="R30" r:id="rId15"/>
    <hyperlink ref="R31" r:id="rId16"/>
    <hyperlink ref="R32" r:id="rId17"/>
    <hyperlink ref="R33" r:id="rId18"/>
    <hyperlink ref="R34" r:id="rId19"/>
    <hyperlink ref="R35" r:id="rId20"/>
    <hyperlink ref="R36" r:id="rId21"/>
    <hyperlink ref="R37" r:id="rId22"/>
    <hyperlink ref="R38" r:id="rId23"/>
    <hyperlink ref="R39" r:id="rId24"/>
    <hyperlink ref="R40" r:id="rId25"/>
    <hyperlink ref="R41" r:id="rId26"/>
    <hyperlink ref="R42" r:id="rId27"/>
    <hyperlink ref="R43" r:id="rId28"/>
    <hyperlink ref="R44" r:id="rId29"/>
    <hyperlink ref="R45" r:id="rId30"/>
    <hyperlink ref="R46" r:id="rId31"/>
    <hyperlink ref="R47" r:id="rId32"/>
    <hyperlink ref="R48" r:id="rId33"/>
    <hyperlink ref="R49" r:id="rId34"/>
    <hyperlink ref="R50" r:id="rId35"/>
    <hyperlink ref="R51" r:id="rId36"/>
    <hyperlink ref="R52" r:id="rId37"/>
    <hyperlink ref="R53" r:id="rId38"/>
    <hyperlink ref="R54" r:id="rId39"/>
    <hyperlink ref="R55" r:id="rId40"/>
    <hyperlink ref="R56" r:id="rId41"/>
    <hyperlink ref="R57" r:id="rId42"/>
    <hyperlink ref="R58" r:id="rId43"/>
    <hyperlink ref="R59" r:id="rId44"/>
    <hyperlink ref="R60" r:id="rId45"/>
    <hyperlink ref="R61" r:id="rId46"/>
    <hyperlink ref="R62" r:id="rId47"/>
    <hyperlink ref="R63" r:id="rId48"/>
    <hyperlink ref="R64" r:id="rId49"/>
    <hyperlink ref="R65" r:id="rId50"/>
    <hyperlink ref="R66" r:id="rId51"/>
    <hyperlink ref="R67" r:id="rId52"/>
    <hyperlink ref="R68" r:id="rId53"/>
    <hyperlink ref="R69" r:id="rId54"/>
    <hyperlink ref="R70" r:id="rId55"/>
    <hyperlink ref="R71" r:id="rId56"/>
    <hyperlink ref="R72" r:id="rId57"/>
    <hyperlink ref="R73" r:id="rId58"/>
    <hyperlink ref="R74" r:id="rId59"/>
    <hyperlink ref="R75" r:id="rId60"/>
    <hyperlink ref="R76" r:id="rId61"/>
    <hyperlink ref="R77" r:id="rId62"/>
    <hyperlink ref="R78" r:id="rId63"/>
    <hyperlink ref="R79" r:id="rId64"/>
    <hyperlink ref="R80" r:id="rId65"/>
    <hyperlink ref="R81" r:id="rId66"/>
    <hyperlink ref="R82" r:id="rId67"/>
    <hyperlink ref="R83" r:id="rId68"/>
    <hyperlink ref="R84" r:id="rId69"/>
    <hyperlink ref="R85" r:id="rId70"/>
    <hyperlink ref="R86" r:id="rId71"/>
    <hyperlink ref="R87" r:id="rId72"/>
    <hyperlink ref="R88" r:id="rId73"/>
    <hyperlink ref="R89" r:id="rId74"/>
    <hyperlink ref="R90" r:id="rId75"/>
    <hyperlink ref="R91" r:id="rId76"/>
    <hyperlink ref="R92" r:id="rId77"/>
    <hyperlink ref="R93" r:id="rId78"/>
    <hyperlink ref="R94" r:id="rId79"/>
    <hyperlink ref="R95" r:id="rId80"/>
    <hyperlink ref="R96" r:id="rId81"/>
    <hyperlink ref="R97" r:id="rId82"/>
    <hyperlink ref="R98" r:id="rId83"/>
    <hyperlink ref="R99" r:id="rId84"/>
    <hyperlink ref="R100" r:id="rId85"/>
    <hyperlink ref="R101" r:id="rId86"/>
    <hyperlink ref="R102" r:id="rId87"/>
    <hyperlink ref="R103" r:id="rId88"/>
    <hyperlink ref="R104" r:id="rId89"/>
    <hyperlink ref="R105" r:id="rId90"/>
    <hyperlink ref="R106" r:id="rId91"/>
    <hyperlink ref="R107" r:id="rId92"/>
    <hyperlink ref="R108" r:id="rId93"/>
    <hyperlink ref="R109" r:id="rId94"/>
    <hyperlink ref="R110" r:id="rId95"/>
    <hyperlink ref="R111" r:id="rId96"/>
    <hyperlink ref="R112" r:id="rId97"/>
    <hyperlink ref="R113" r:id="rId98"/>
    <hyperlink ref="R114" r:id="rId99"/>
    <hyperlink ref="R115" r:id="rId100"/>
    <hyperlink ref="R116" r:id="rId101"/>
    <hyperlink ref="R117" r:id="rId102"/>
    <hyperlink ref="R118" r:id="rId103"/>
    <hyperlink ref="R119" r:id="rId104"/>
    <hyperlink ref="R120" r:id="rId105"/>
    <hyperlink ref="R121" r:id="rId106"/>
    <hyperlink ref="R122" r:id="rId107"/>
    <hyperlink ref="R123" r:id="rId108"/>
    <hyperlink ref="R124" r:id="rId109"/>
    <hyperlink ref="R125" r:id="rId110"/>
    <hyperlink ref="R126" r:id="rId111"/>
    <hyperlink ref="R127" r:id="rId112"/>
    <hyperlink ref="R128" r:id="rId113"/>
    <hyperlink ref="R129" r:id="rId114"/>
    <hyperlink ref="R130" r:id="rId115"/>
    <hyperlink ref="R131" r:id="rId116"/>
    <hyperlink ref="R132" r:id="rId117"/>
    <hyperlink ref="R133" r:id="rId118"/>
    <hyperlink ref="R134" r:id="rId119"/>
    <hyperlink ref="R135" r:id="rId120"/>
    <hyperlink ref="R136" r:id="rId121"/>
    <hyperlink ref="R137" r:id="rId122"/>
    <hyperlink ref="R138" r:id="rId123"/>
    <hyperlink ref="R139" r:id="rId124"/>
    <hyperlink ref="R140" r:id="rId125"/>
    <hyperlink ref="R141" r:id="rId126"/>
    <hyperlink ref="R142" r:id="rId127"/>
    <hyperlink ref="R144" r:id="rId128"/>
    <hyperlink ref="R145" r:id="rId129"/>
    <hyperlink ref="R146" r:id="rId130"/>
    <hyperlink ref="R147" r:id="rId131"/>
    <hyperlink ref="R148" r:id="rId132"/>
    <hyperlink ref="R149" r:id="rId133"/>
    <hyperlink ref="R150" r:id="rId134"/>
    <hyperlink ref="R151" r:id="rId135"/>
    <hyperlink ref="R152" r:id="rId136"/>
    <hyperlink ref="R153" r:id="rId137"/>
    <hyperlink ref="R154" r:id="rId138"/>
    <hyperlink ref="R155" r:id="rId139"/>
    <hyperlink ref="R156" r:id="rId140"/>
    <hyperlink ref="R157" r:id="rId141"/>
    <hyperlink ref="R158" r:id="rId142"/>
    <hyperlink ref="R159" r:id="rId143"/>
    <hyperlink ref="R160" r:id="rId144"/>
    <hyperlink ref="R161" r:id="rId145"/>
    <hyperlink ref="R162" r:id="rId146"/>
    <hyperlink ref="R163" r:id="rId147"/>
    <hyperlink ref="R164" r:id="rId148"/>
    <hyperlink ref="R165" r:id="rId149"/>
    <hyperlink ref="R166" r:id="rId150"/>
    <hyperlink ref="R167" r:id="rId151"/>
    <hyperlink ref="R168" r:id="rId152"/>
    <hyperlink ref="R169" r:id="rId153"/>
    <hyperlink ref="R170" r:id="rId154"/>
    <hyperlink ref="R171" r:id="rId155"/>
    <hyperlink ref="R172" r:id="rId156"/>
    <hyperlink ref="R173" r:id="rId157"/>
    <hyperlink ref="R174" r:id="rId158"/>
    <hyperlink ref="R175" r:id="rId159"/>
    <hyperlink ref="R176" r:id="rId160"/>
    <hyperlink ref="R177" r:id="rId161"/>
    <hyperlink ref="R178" r:id="rId162"/>
    <hyperlink ref="R179" r:id="rId163"/>
    <hyperlink ref="R180" r:id="rId164"/>
    <hyperlink ref="R181" r:id="rId165"/>
    <hyperlink ref="R182" r:id="rId166"/>
    <hyperlink ref="R183" r:id="rId167"/>
    <hyperlink ref="R184" r:id="rId168"/>
    <hyperlink ref="R185" r:id="rId169"/>
    <hyperlink ref="R186" r:id="rId170"/>
    <hyperlink ref="R187" r:id="rId171"/>
    <hyperlink ref="R188" r:id="rId172"/>
    <hyperlink ref="R189" r:id="rId173"/>
    <hyperlink ref="R190" r:id="rId174"/>
    <hyperlink ref="R191" r:id="rId175"/>
    <hyperlink ref="R192" r:id="rId176"/>
    <hyperlink ref="R193" r:id="rId177"/>
    <hyperlink ref="R194" r:id="rId178"/>
    <hyperlink ref="R195" r:id="rId179"/>
    <hyperlink ref="R196" r:id="rId180"/>
    <hyperlink ref="R197" r:id="rId181"/>
    <hyperlink ref="R198" r:id="rId182"/>
    <hyperlink ref="R199" r:id="rId183"/>
    <hyperlink ref="R200" r:id="rId184"/>
    <hyperlink ref="R201" r:id="rId185"/>
    <hyperlink ref="R202" r:id="rId186"/>
    <hyperlink ref="R203" r:id="rId187"/>
    <hyperlink ref="R204" r:id="rId188"/>
    <hyperlink ref="R205" r:id="rId189"/>
    <hyperlink ref="R206" r:id="rId190"/>
    <hyperlink ref="R207" r:id="rId191"/>
    <hyperlink ref="R208" r:id="rId192"/>
    <hyperlink ref="R209" r:id="rId193"/>
    <hyperlink ref="R210" r:id="rId194"/>
    <hyperlink ref="R211" r:id="rId195"/>
    <hyperlink ref="R212" r:id="rId196"/>
  </hyperlinks>
  <pageMargins left="0.7" right="0.7" top="0.75" bottom="0.75" header="0.3" footer="0.3"/>
  <pageSetup orientation="portrait" r:id="rId197"/>
  <legacyDrawing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9"/>
  <sheetViews>
    <sheetView topLeftCell="A1181" workbookViewId="0">
      <selection activeCell="A1205" sqref="A1205"/>
    </sheetView>
  </sheetViews>
  <sheetFormatPr defaultRowHeight="15" x14ac:dyDescent="0.25"/>
  <cols>
    <col min="1" max="1" width="21.42578125" customWidth="1"/>
    <col min="2" max="2" width="9.42578125" customWidth="1"/>
  </cols>
  <sheetData>
    <row r="1" spans="1:3" x14ac:dyDescent="0.25">
      <c r="A1" t="s">
        <v>513</v>
      </c>
      <c r="B1" t="s">
        <v>514</v>
      </c>
      <c r="C1" t="s">
        <v>9</v>
      </c>
    </row>
    <row r="2" spans="1:3" x14ac:dyDescent="0.25">
      <c r="A2" t="s">
        <v>515</v>
      </c>
    </row>
    <row r="3" spans="1:3" x14ac:dyDescent="0.25">
      <c r="A3" t="s">
        <v>516</v>
      </c>
      <c r="B3">
        <v>24.52</v>
      </c>
    </row>
    <row r="4" spans="1:3" x14ac:dyDescent="0.25">
      <c r="A4" t="s">
        <v>517</v>
      </c>
      <c r="B4" t="s">
        <v>518</v>
      </c>
    </row>
    <row r="5" spans="1:3" x14ac:dyDescent="0.25">
      <c r="A5" t="s">
        <v>519</v>
      </c>
      <c r="B5" t="s">
        <v>617</v>
      </c>
    </row>
    <row r="6" spans="1:3" x14ac:dyDescent="0.25">
      <c r="A6" t="s">
        <v>520</v>
      </c>
      <c r="B6" s="12">
        <v>2.0999999999999999E-3</v>
      </c>
    </row>
    <row r="7" spans="1:3" x14ac:dyDescent="0.25">
      <c r="A7" t="s">
        <v>521</v>
      </c>
      <c r="B7" t="s">
        <v>522</v>
      </c>
    </row>
    <row r="8" spans="1:3" x14ac:dyDescent="0.25">
      <c r="A8" t="s">
        <v>523</v>
      </c>
      <c r="B8" t="s">
        <v>524</v>
      </c>
    </row>
    <row r="10" spans="1:3" x14ac:dyDescent="0.25">
      <c r="A10" t="s">
        <v>513</v>
      </c>
      <c r="B10" t="s">
        <v>514</v>
      </c>
      <c r="C10" t="s">
        <v>538</v>
      </c>
    </row>
    <row r="11" spans="1:3" x14ac:dyDescent="0.25">
      <c r="A11" t="s">
        <v>516</v>
      </c>
      <c r="B11">
        <v>37.47</v>
      </c>
    </row>
    <row r="12" spans="1:3" x14ac:dyDescent="0.25">
      <c r="A12" t="s">
        <v>525</v>
      </c>
      <c r="B12">
        <v>37.33</v>
      </c>
    </row>
    <row r="13" spans="1:3" x14ac:dyDescent="0.25">
      <c r="A13" t="s">
        <v>526</v>
      </c>
      <c r="B13">
        <v>37.4</v>
      </c>
    </row>
    <row r="14" spans="1:3" x14ac:dyDescent="0.25">
      <c r="A14" t="s">
        <v>527</v>
      </c>
      <c r="B14">
        <v>36.85</v>
      </c>
    </row>
    <row r="15" spans="1:3" x14ac:dyDescent="0.25">
      <c r="A15" t="s">
        <v>528</v>
      </c>
      <c r="B15" s="21" t="s">
        <v>619</v>
      </c>
    </row>
    <row r="16" spans="1:3" x14ac:dyDescent="0.25">
      <c r="A16" t="s">
        <v>529</v>
      </c>
      <c r="B16" t="s">
        <v>620</v>
      </c>
    </row>
    <row r="17" spans="1:3" x14ac:dyDescent="0.25">
      <c r="A17" t="s">
        <v>530</v>
      </c>
      <c r="B17">
        <v>33.01</v>
      </c>
    </row>
    <row r="18" spans="1:3" x14ac:dyDescent="0.25">
      <c r="A18" t="s">
        <v>531</v>
      </c>
      <c r="B18">
        <v>200</v>
      </c>
    </row>
    <row r="19" spans="1:3" x14ac:dyDescent="0.25">
      <c r="A19" t="s">
        <v>533</v>
      </c>
      <c r="B19">
        <v>42</v>
      </c>
    </row>
    <row r="20" spans="1:3" x14ac:dyDescent="0.25">
      <c r="A20" t="s">
        <v>534</v>
      </c>
      <c r="B20" s="21">
        <v>200</v>
      </c>
    </row>
    <row r="21" spans="1:3" x14ac:dyDescent="0.25">
      <c r="A21" t="s">
        <v>535</v>
      </c>
      <c r="B21">
        <v>41.63</v>
      </c>
    </row>
    <row r="22" spans="1:3" x14ac:dyDescent="0.25">
      <c r="A22" t="s">
        <v>536</v>
      </c>
      <c r="B22">
        <v>25.64</v>
      </c>
    </row>
    <row r="23" spans="1:3" x14ac:dyDescent="0.25">
      <c r="A23" t="s">
        <v>537</v>
      </c>
      <c r="B23" t="s">
        <v>532</v>
      </c>
    </row>
    <row r="24" spans="1:3" x14ac:dyDescent="0.25">
      <c r="A24" t="s">
        <v>520</v>
      </c>
      <c r="B24" t="s">
        <v>532</v>
      </c>
    </row>
    <row r="26" spans="1:3" x14ac:dyDescent="0.25">
      <c r="A26" t="s">
        <v>513</v>
      </c>
      <c r="B26" t="s">
        <v>514</v>
      </c>
      <c r="C26" t="s">
        <v>31</v>
      </c>
    </row>
    <row r="27" spans="1:3" x14ac:dyDescent="0.25">
      <c r="A27" t="s">
        <v>516</v>
      </c>
      <c r="B27">
        <v>9.77</v>
      </c>
    </row>
    <row r="28" spans="1:3" x14ac:dyDescent="0.25">
      <c r="A28" t="s">
        <v>525</v>
      </c>
      <c r="B28">
        <v>9.92</v>
      </c>
    </row>
    <row r="29" spans="1:3" x14ac:dyDescent="0.25">
      <c r="A29" t="s">
        <v>526</v>
      </c>
      <c r="B29">
        <v>10.14</v>
      </c>
    </row>
    <row r="30" spans="1:3" x14ac:dyDescent="0.25">
      <c r="A30" t="s">
        <v>527</v>
      </c>
      <c r="B30">
        <v>9.64</v>
      </c>
    </row>
    <row r="31" spans="1:3" x14ac:dyDescent="0.25">
      <c r="A31" t="s">
        <v>528</v>
      </c>
      <c r="B31" s="21">
        <v>172950</v>
      </c>
    </row>
    <row r="32" spans="1:3" x14ac:dyDescent="0.25">
      <c r="A32" t="s">
        <v>529</v>
      </c>
      <c r="B32" s="22">
        <v>217854.92</v>
      </c>
    </row>
    <row r="33" spans="1:3" x14ac:dyDescent="0.25">
      <c r="A33" t="s">
        <v>530</v>
      </c>
      <c r="B33">
        <v>9</v>
      </c>
    </row>
    <row r="34" spans="1:3" x14ac:dyDescent="0.25">
      <c r="A34" t="s">
        <v>531</v>
      </c>
      <c r="B34">
        <v>300</v>
      </c>
    </row>
    <row r="35" spans="1:3" x14ac:dyDescent="0.25">
      <c r="A35" t="s">
        <v>533</v>
      </c>
      <c r="B35">
        <v>16.25</v>
      </c>
    </row>
    <row r="36" spans="1:3" x14ac:dyDescent="0.25">
      <c r="A36" t="s">
        <v>534</v>
      </c>
      <c r="B36">
        <v>600</v>
      </c>
    </row>
    <row r="37" spans="1:3" x14ac:dyDescent="0.25">
      <c r="A37" t="s">
        <v>535</v>
      </c>
      <c r="B37">
        <v>19.98</v>
      </c>
    </row>
    <row r="38" spans="1:3" x14ac:dyDescent="0.25">
      <c r="A38" t="s">
        <v>536</v>
      </c>
      <c r="B38">
        <v>8.65</v>
      </c>
    </row>
    <row r="39" spans="1:3" x14ac:dyDescent="0.25">
      <c r="A39" t="s">
        <v>537</v>
      </c>
      <c r="B39">
        <v>0.2</v>
      </c>
    </row>
    <row r="40" spans="1:3" x14ac:dyDescent="0.25">
      <c r="A40" t="s">
        <v>520</v>
      </c>
      <c r="B40">
        <v>2.0499999999999998</v>
      </c>
    </row>
    <row r="42" spans="1:3" x14ac:dyDescent="0.25">
      <c r="A42" t="s">
        <v>513</v>
      </c>
      <c r="B42" t="s">
        <v>514</v>
      </c>
      <c r="C42" t="s">
        <v>33</v>
      </c>
    </row>
    <row r="43" spans="1:3" x14ac:dyDescent="0.25">
      <c r="A43" t="s">
        <v>516</v>
      </c>
      <c r="B43">
        <v>95.59</v>
      </c>
    </row>
    <row r="44" spans="1:3" x14ac:dyDescent="0.25">
      <c r="A44" t="s">
        <v>525</v>
      </c>
      <c r="B44">
        <v>95.45</v>
      </c>
    </row>
    <row r="45" spans="1:3" x14ac:dyDescent="0.25">
      <c r="A45" t="s">
        <v>526</v>
      </c>
      <c r="B45">
        <v>95.83</v>
      </c>
    </row>
    <row r="46" spans="1:3" x14ac:dyDescent="0.25">
      <c r="A46" t="s">
        <v>527</v>
      </c>
      <c r="B46">
        <v>95.18</v>
      </c>
    </row>
    <row r="47" spans="1:3" x14ac:dyDescent="0.25">
      <c r="A47" t="s">
        <v>528</v>
      </c>
      <c r="B47" s="21">
        <v>777296</v>
      </c>
    </row>
    <row r="48" spans="1:3" x14ac:dyDescent="0.25">
      <c r="A48" t="s">
        <v>529</v>
      </c>
      <c r="B48" t="s">
        <v>570</v>
      </c>
    </row>
    <row r="49" spans="1:3" x14ac:dyDescent="0.25">
      <c r="A49" t="s">
        <v>530</v>
      </c>
      <c r="B49">
        <v>94.44</v>
      </c>
    </row>
    <row r="50" spans="1:3" x14ac:dyDescent="0.25">
      <c r="A50" t="s">
        <v>531</v>
      </c>
      <c r="B50">
        <v>100</v>
      </c>
    </row>
    <row r="51" spans="1:3" x14ac:dyDescent="0.25">
      <c r="A51" t="s">
        <v>533</v>
      </c>
      <c r="B51">
        <v>110</v>
      </c>
    </row>
    <row r="52" spans="1:3" x14ac:dyDescent="0.25">
      <c r="A52" t="s">
        <v>534</v>
      </c>
      <c r="B52">
        <v>200</v>
      </c>
    </row>
    <row r="53" spans="1:3" x14ac:dyDescent="0.25">
      <c r="A53" t="s">
        <v>535</v>
      </c>
      <c r="B53">
        <v>96.65</v>
      </c>
    </row>
    <row r="54" spans="1:3" x14ac:dyDescent="0.25">
      <c r="A54" t="s">
        <v>536</v>
      </c>
      <c r="B54">
        <v>64.47</v>
      </c>
    </row>
    <row r="55" spans="1:3" x14ac:dyDescent="0.25">
      <c r="A55" t="s">
        <v>537</v>
      </c>
      <c r="B55">
        <v>2.2400000000000002</v>
      </c>
    </row>
    <row r="56" spans="1:3" x14ac:dyDescent="0.25">
      <c r="A56" t="s">
        <v>520</v>
      </c>
      <c r="B56">
        <v>2.34</v>
      </c>
    </row>
    <row r="58" spans="1:3" x14ac:dyDescent="0.25">
      <c r="A58" t="s">
        <v>513</v>
      </c>
      <c r="B58" t="s">
        <v>514</v>
      </c>
      <c r="C58" t="s">
        <v>35</v>
      </c>
    </row>
    <row r="59" spans="1:3" x14ac:dyDescent="0.25">
      <c r="A59" t="s">
        <v>516</v>
      </c>
      <c r="B59">
        <v>14.83</v>
      </c>
    </row>
    <row r="60" spans="1:3" x14ac:dyDescent="0.25">
      <c r="A60" t="s">
        <v>525</v>
      </c>
      <c r="B60">
        <v>14.84</v>
      </c>
    </row>
    <row r="61" spans="1:3" x14ac:dyDescent="0.25">
      <c r="A61" t="s">
        <v>526</v>
      </c>
      <c r="B61">
        <v>14.85</v>
      </c>
    </row>
    <row r="62" spans="1:3" x14ac:dyDescent="0.25">
      <c r="A62" t="s">
        <v>527</v>
      </c>
      <c r="B62">
        <v>14.8</v>
      </c>
    </row>
    <row r="63" spans="1:3" x14ac:dyDescent="0.25">
      <c r="A63" t="s">
        <v>528</v>
      </c>
      <c r="B63" s="21" t="s">
        <v>604</v>
      </c>
    </row>
    <row r="64" spans="1:3" x14ac:dyDescent="0.25">
      <c r="A64" t="s">
        <v>529</v>
      </c>
      <c r="B64" t="s">
        <v>571</v>
      </c>
    </row>
    <row r="65" spans="1:3" x14ac:dyDescent="0.25">
      <c r="A65" t="s">
        <v>530</v>
      </c>
      <c r="B65">
        <v>14.8</v>
      </c>
    </row>
    <row r="66" spans="1:3" x14ac:dyDescent="0.25">
      <c r="A66" t="s">
        <v>531</v>
      </c>
      <c r="B66">
        <v>500</v>
      </c>
    </row>
    <row r="67" spans="1:3" x14ac:dyDescent="0.25">
      <c r="A67" t="s">
        <v>533</v>
      </c>
      <c r="B67">
        <v>14.99</v>
      </c>
    </row>
    <row r="68" spans="1:3" x14ac:dyDescent="0.25">
      <c r="A68" t="s">
        <v>534</v>
      </c>
      <c r="B68" s="21">
        <v>4900</v>
      </c>
    </row>
    <row r="69" spans="1:3" x14ac:dyDescent="0.25">
      <c r="A69" t="s">
        <v>535</v>
      </c>
      <c r="B69">
        <v>17.78</v>
      </c>
    </row>
    <row r="70" spans="1:3" x14ac:dyDescent="0.25">
      <c r="A70" t="s">
        <v>536</v>
      </c>
      <c r="B70">
        <v>11.02</v>
      </c>
    </row>
    <row r="71" spans="1:3" x14ac:dyDescent="0.25">
      <c r="A71" t="s">
        <v>537</v>
      </c>
      <c r="B71">
        <v>0.2</v>
      </c>
    </row>
    <row r="72" spans="1:3" x14ac:dyDescent="0.25">
      <c r="A72" t="s">
        <v>520</v>
      </c>
      <c r="B72">
        <v>1.35</v>
      </c>
    </row>
    <row r="74" spans="1:3" x14ac:dyDescent="0.25">
      <c r="A74" t="s">
        <v>513</v>
      </c>
      <c r="B74" t="s">
        <v>514</v>
      </c>
      <c r="C74" t="s">
        <v>37</v>
      </c>
    </row>
    <row r="75" spans="1:3" x14ac:dyDescent="0.25">
      <c r="A75" t="s">
        <v>516</v>
      </c>
      <c r="B75">
        <v>41.5</v>
      </c>
    </row>
    <row r="76" spans="1:3" x14ac:dyDescent="0.25">
      <c r="A76" t="s">
        <v>525</v>
      </c>
      <c r="B76">
        <v>41.43</v>
      </c>
    </row>
    <row r="77" spans="1:3" x14ac:dyDescent="0.25">
      <c r="A77" t="s">
        <v>526</v>
      </c>
      <c r="B77">
        <v>41.48</v>
      </c>
    </row>
    <row r="78" spans="1:3" x14ac:dyDescent="0.25">
      <c r="A78" t="s">
        <v>527</v>
      </c>
      <c r="B78">
        <v>41.12</v>
      </c>
    </row>
    <row r="79" spans="1:3" x14ac:dyDescent="0.25">
      <c r="A79" t="s">
        <v>528</v>
      </c>
      <c r="B79" t="s">
        <v>566</v>
      </c>
    </row>
    <row r="80" spans="1:3" x14ac:dyDescent="0.25">
      <c r="A80" t="s">
        <v>529</v>
      </c>
      <c r="B80" t="s">
        <v>586</v>
      </c>
    </row>
    <row r="81" spans="1:3" x14ac:dyDescent="0.25">
      <c r="A81" t="s">
        <v>530</v>
      </c>
      <c r="B81">
        <v>41.15</v>
      </c>
    </row>
    <row r="82" spans="1:3" x14ac:dyDescent="0.25">
      <c r="A82" t="s">
        <v>531</v>
      </c>
      <c r="B82">
        <v>200</v>
      </c>
    </row>
    <row r="83" spans="1:3" x14ac:dyDescent="0.25">
      <c r="A83" t="s">
        <v>533</v>
      </c>
      <c r="B83">
        <v>41.46</v>
      </c>
    </row>
    <row r="84" spans="1:3" x14ac:dyDescent="0.25">
      <c r="A84" t="s">
        <v>534</v>
      </c>
      <c r="B84" s="21">
        <v>100</v>
      </c>
    </row>
    <row r="85" spans="1:3" x14ac:dyDescent="0.25">
      <c r="A85" t="s">
        <v>535</v>
      </c>
      <c r="B85">
        <v>41.57</v>
      </c>
    </row>
    <row r="86" spans="1:3" x14ac:dyDescent="0.25">
      <c r="A86" t="s">
        <v>536</v>
      </c>
      <c r="B86">
        <v>31.99</v>
      </c>
    </row>
    <row r="87" spans="1:3" x14ac:dyDescent="0.25">
      <c r="A87" t="s">
        <v>537</v>
      </c>
      <c r="B87">
        <v>0.92</v>
      </c>
    </row>
    <row r="88" spans="1:3" x14ac:dyDescent="0.25">
      <c r="A88" t="s">
        <v>520</v>
      </c>
      <c r="B88">
        <v>2.2200000000000002</v>
      </c>
    </row>
    <row r="90" spans="1:3" x14ac:dyDescent="0.25">
      <c r="A90" t="s">
        <v>513</v>
      </c>
      <c r="B90" t="s">
        <v>514</v>
      </c>
      <c r="C90" t="s">
        <v>39</v>
      </c>
    </row>
    <row r="91" spans="1:3" x14ac:dyDescent="0.25">
      <c r="A91" t="s">
        <v>516</v>
      </c>
      <c r="B91">
        <v>92.01</v>
      </c>
    </row>
    <row r="92" spans="1:3" x14ac:dyDescent="0.25">
      <c r="A92" t="s">
        <v>525</v>
      </c>
      <c r="B92">
        <v>91.99</v>
      </c>
    </row>
    <row r="93" spans="1:3" x14ac:dyDescent="0.25">
      <c r="A93" t="s">
        <v>526</v>
      </c>
      <c r="B93">
        <v>92.74</v>
      </c>
    </row>
    <row r="94" spans="1:3" x14ac:dyDescent="0.25">
      <c r="A94" t="s">
        <v>527</v>
      </c>
      <c r="B94">
        <v>91.87</v>
      </c>
    </row>
    <row r="95" spans="1:3" x14ac:dyDescent="0.25">
      <c r="A95" t="s">
        <v>528</v>
      </c>
      <c r="B95" s="21">
        <v>485833</v>
      </c>
    </row>
    <row r="96" spans="1:3" x14ac:dyDescent="0.25">
      <c r="A96" t="s">
        <v>529</v>
      </c>
      <c r="B96" s="22">
        <v>754075</v>
      </c>
    </row>
    <row r="97" spans="1:3" x14ac:dyDescent="0.25">
      <c r="A97" t="s">
        <v>530</v>
      </c>
      <c r="B97">
        <v>92</v>
      </c>
    </row>
    <row r="98" spans="1:3" x14ac:dyDescent="0.25">
      <c r="A98" t="s">
        <v>531</v>
      </c>
      <c r="B98">
        <v>100</v>
      </c>
    </row>
    <row r="99" spans="1:3" x14ac:dyDescent="0.25">
      <c r="A99" t="s">
        <v>533</v>
      </c>
      <c r="B99">
        <v>0</v>
      </c>
    </row>
    <row r="100" spans="1:3" x14ac:dyDescent="0.25">
      <c r="A100" t="s">
        <v>534</v>
      </c>
      <c r="B100" t="s">
        <v>532</v>
      </c>
    </row>
    <row r="101" spans="1:3" x14ac:dyDescent="0.25">
      <c r="A101" t="s">
        <v>535</v>
      </c>
      <c r="B101">
        <v>92.74</v>
      </c>
    </row>
    <row r="102" spans="1:3" x14ac:dyDescent="0.25">
      <c r="A102" t="s">
        <v>536</v>
      </c>
      <c r="B102">
        <v>76.19</v>
      </c>
    </row>
    <row r="103" spans="1:3" x14ac:dyDescent="0.25">
      <c r="A103" t="s">
        <v>537</v>
      </c>
      <c r="B103">
        <v>2.92</v>
      </c>
    </row>
    <row r="104" spans="1:3" x14ac:dyDescent="0.25">
      <c r="A104" t="s">
        <v>520</v>
      </c>
      <c r="B104">
        <v>3.17</v>
      </c>
    </row>
    <row r="106" spans="1:3" x14ac:dyDescent="0.25">
      <c r="A106" t="s">
        <v>513</v>
      </c>
      <c r="B106" t="s">
        <v>514</v>
      </c>
      <c r="C106" t="s">
        <v>41</v>
      </c>
    </row>
    <row r="107" spans="1:3" x14ac:dyDescent="0.25">
      <c r="A107" t="s">
        <v>516</v>
      </c>
      <c r="B107">
        <v>47.12</v>
      </c>
    </row>
    <row r="108" spans="1:3" x14ac:dyDescent="0.25">
      <c r="A108" t="s">
        <v>525</v>
      </c>
      <c r="B108">
        <v>47.21</v>
      </c>
    </row>
    <row r="109" spans="1:3" x14ac:dyDescent="0.25">
      <c r="A109" t="s">
        <v>526</v>
      </c>
      <c r="B109">
        <v>47.44</v>
      </c>
    </row>
    <row r="110" spans="1:3" x14ac:dyDescent="0.25">
      <c r="A110" t="s">
        <v>527</v>
      </c>
      <c r="B110">
        <v>46.86</v>
      </c>
    </row>
    <row r="111" spans="1:3" x14ac:dyDescent="0.25">
      <c r="A111" t="s">
        <v>528</v>
      </c>
      <c r="B111" s="21">
        <v>23418</v>
      </c>
    </row>
    <row r="112" spans="1:3" x14ac:dyDescent="0.25">
      <c r="A112" t="s">
        <v>529</v>
      </c>
      <c r="B112" s="22">
        <v>25440.79</v>
      </c>
    </row>
    <row r="113" spans="1:3" x14ac:dyDescent="0.25">
      <c r="A113" t="s">
        <v>530</v>
      </c>
      <c r="B113">
        <v>0</v>
      </c>
    </row>
    <row r="114" spans="1:3" x14ac:dyDescent="0.25">
      <c r="A114" t="s">
        <v>531</v>
      </c>
      <c r="B114" t="s">
        <v>532</v>
      </c>
    </row>
    <row r="115" spans="1:3" x14ac:dyDescent="0.25">
      <c r="A115" t="s">
        <v>533</v>
      </c>
      <c r="B115">
        <v>47.45</v>
      </c>
    </row>
    <row r="116" spans="1:3" x14ac:dyDescent="0.25">
      <c r="A116" t="s">
        <v>534</v>
      </c>
      <c r="B116" s="21">
        <v>1000</v>
      </c>
    </row>
    <row r="117" spans="1:3" x14ac:dyDescent="0.25">
      <c r="A117" t="s">
        <v>535</v>
      </c>
      <c r="B117">
        <v>49.82</v>
      </c>
    </row>
    <row r="118" spans="1:3" x14ac:dyDescent="0.25">
      <c r="A118" t="s">
        <v>536</v>
      </c>
      <c r="B118">
        <v>41.3</v>
      </c>
    </row>
    <row r="119" spans="1:3" x14ac:dyDescent="0.25">
      <c r="A119" t="s">
        <v>537</v>
      </c>
      <c r="B119">
        <v>1.44</v>
      </c>
    </row>
    <row r="120" spans="1:3" x14ac:dyDescent="0.25">
      <c r="A120" t="s">
        <v>520</v>
      </c>
      <c r="B120">
        <v>3.06</v>
      </c>
    </row>
    <row r="122" spans="1:3" x14ac:dyDescent="0.25">
      <c r="A122" t="s">
        <v>513</v>
      </c>
      <c r="B122" t="s">
        <v>514</v>
      </c>
      <c r="C122" t="s">
        <v>43</v>
      </c>
    </row>
    <row r="123" spans="1:3" x14ac:dyDescent="0.25">
      <c r="A123" t="s">
        <v>515</v>
      </c>
    </row>
    <row r="124" spans="1:3" x14ac:dyDescent="0.25">
      <c r="A124" t="s">
        <v>516</v>
      </c>
      <c r="B124">
        <v>22.12</v>
      </c>
    </row>
    <row r="125" spans="1:3" x14ac:dyDescent="0.25">
      <c r="A125" t="s">
        <v>517</v>
      </c>
      <c r="B125" t="s">
        <v>541</v>
      </c>
    </row>
    <row r="126" spans="1:3" x14ac:dyDescent="0.25">
      <c r="A126" t="s">
        <v>519</v>
      </c>
      <c r="B126" t="s">
        <v>627</v>
      </c>
    </row>
    <row r="127" spans="1:3" x14ac:dyDescent="0.25">
      <c r="A127" t="s">
        <v>520</v>
      </c>
      <c r="B127" s="12">
        <v>4.1599999999999998E-2</v>
      </c>
    </row>
    <row r="128" spans="1:3" x14ac:dyDescent="0.25">
      <c r="A128" t="s">
        <v>521</v>
      </c>
      <c r="B128" t="s">
        <v>542</v>
      </c>
    </row>
    <row r="129" spans="1:3" x14ac:dyDescent="0.25">
      <c r="A129" t="s">
        <v>523</v>
      </c>
      <c r="B129" t="s">
        <v>542</v>
      </c>
    </row>
    <row r="131" spans="1:3" x14ac:dyDescent="0.25">
      <c r="A131" t="s">
        <v>513</v>
      </c>
      <c r="B131" t="s">
        <v>514</v>
      </c>
      <c r="C131" t="s">
        <v>45</v>
      </c>
    </row>
    <row r="132" spans="1:3" x14ac:dyDescent="0.25">
      <c r="A132" t="s">
        <v>516</v>
      </c>
      <c r="B132">
        <v>36.76</v>
      </c>
    </row>
    <row r="133" spans="1:3" x14ac:dyDescent="0.25">
      <c r="A133" t="s">
        <v>525</v>
      </c>
      <c r="B133">
        <v>36.78</v>
      </c>
    </row>
    <row r="134" spans="1:3" x14ac:dyDescent="0.25">
      <c r="A134" t="s">
        <v>526</v>
      </c>
      <c r="B134">
        <v>37</v>
      </c>
    </row>
    <row r="135" spans="1:3" x14ac:dyDescent="0.25">
      <c r="A135" t="s">
        <v>527</v>
      </c>
      <c r="B135">
        <v>36.31</v>
      </c>
    </row>
    <row r="136" spans="1:3" x14ac:dyDescent="0.25">
      <c r="A136" t="s">
        <v>528</v>
      </c>
      <c r="B136" t="s">
        <v>639</v>
      </c>
    </row>
    <row r="137" spans="1:3" x14ac:dyDescent="0.25">
      <c r="A137" t="s">
        <v>529</v>
      </c>
      <c r="B137" t="s">
        <v>640</v>
      </c>
    </row>
    <row r="138" spans="1:3" x14ac:dyDescent="0.25">
      <c r="A138" t="s">
        <v>530</v>
      </c>
      <c r="B138">
        <v>0</v>
      </c>
    </row>
    <row r="139" spans="1:3" x14ac:dyDescent="0.25">
      <c r="A139" t="s">
        <v>531</v>
      </c>
      <c r="B139" t="s">
        <v>532</v>
      </c>
    </row>
    <row r="140" spans="1:3" x14ac:dyDescent="0.25">
      <c r="A140" t="s">
        <v>533</v>
      </c>
      <c r="B140">
        <v>0</v>
      </c>
    </row>
    <row r="141" spans="1:3" x14ac:dyDescent="0.25">
      <c r="A141" t="s">
        <v>534</v>
      </c>
      <c r="B141" t="s">
        <v>532</v>
      </c>
    </row>
    <row r="142" spans="1:3" x14ac:dyDescent="0.25">
      <c r="A142" t="s">
        <v>535</v>
      </c>
      <c r="B142">
        <v>38.979999999999997</v>
      </c>
    </row>
    <row r="143" spans="1:3" x14ac:dyDescent="0.25">
      <c r="A143" t="s">
        <v>536</v>
      </c>
      <c r="B143">
        <v>27</v>
      </c>
    </row>
    <row r="144" spans="1:3" x14ac:dyDescent="0.25">
      <c r="A144" t="s">
        <v>537</v>
      </c>
      <c r="B144">
        <v>1.1200000000000001</v>
      </c>
    </row>
    <row r="145" spans="1:3" x14ac:dyDescent="0.25">
      <c r="A145" t="s">
        <v>520</v>
      </c>
      <c r="B145">
        <v>3.05</v>
      </c>
    </row>
    <row r="147" spans="1:3" x14ac:dyDescent="0.25">
      <c r="A147" t="s">
        <v>513</v>
      </c>
      <c r="B147" t="s">
        <v>514</v>
      </c>
      <c r="C147" t="s">
        <v>47</v>
      </c>
    </row>
    <row r="148" spans="1:3" x14ac:dyDescent="0.25">
      <c r="A148" t="s">
        <v>516</v>
      </c>
      <c r="B148">
        <v>167.32</v>
      </c>
    </row>
    <row r="149" spans="1:3" x14ac:dyDescent="0.25">
      <c r="A149" t="s">
        <v>525</v>
      </c>
      <c r="B149">
        <v>167.45</v>
      </c>
    </row>
    <row r="150" spans="1:3" x14ac:dyDescent="0.25">
      <c r="A150" t="s">
        <v>526</v>
      </c>
      <c r="B150">
        <v>169.08</v>
      </c>
    </row>
    <row r="151" spans="1:3" x14ac:dyDescent="0.25">
      <c r="A151" t="s">
        <v>527</v>
      </c>
      <c r="B151">
        <v>167.25</v>
      </c>
    </row>
    <row r="152" spans="1:3" x14ac:dyDescent="0.25">
      <c r="A152" t="s">
        <v>528</v>
      </c>
      <c r="B152" s="21" t="s">
        <v>595</v>
      </c>
    </row>
    <row r="153" spans="1:3" x14ac:dyDescent="0.25">
      <c r="A153" t="s">
        <v>529</v>
      </c>
      <c r="B153" t="s">
        <v>596</v>
      </c>
    </row>
    <row r="154" spans="1:3" x14ac:dyDescent="0.25">
      <c r="A154" t="s">
        <v>530</v>
      </c>
      <c r="B154">
        <v>162.38999999999999</v>
      </c>
    </row>
    <row r="155" spans="1:3" x14ac:dyDescent="0.25">
      <c r="A155" t="s">
        <v>531</v>
      </c>
      <c r="B155">
        <v>500</v>
      </c>
    </row>
    <row r="156" spans="1:3" x14ac:dyDescent="0.25">
      <c r="A156" t="s">
        <v>533</v>
      </c>
      <c r="B156">
        <v>175</v>
      </c>
    </row>
    <row r="157" spans="1:3" x14ac:dyDescent="0.25">
      <c r="A157" t="s">
        <v>534</v>
      </c>
      <c r="B157">
        <v>100</v>
      </c>
    </row>
    <row r="158" spans="1:3" x14ac:dyDescent="0.25">
      <c r="A158" t="s">
        <v>535</v>
      </c>
      <c r="B158">
        <v>177</v>
      </c>
    </row>
    <row r="159" spans="1:3" x14ac:dyDescent="0.25">
      <c r="A159" t="s">
        <v>536</v>
      </c>
      <c r="B159">
        <v>101.32</v>
      </c>
    </row>
    <row r="160" spans="1:3" x14ac:dyDescent="0.25">
      <c r="A160" t="s">
        <v>537</v>
      </c>
      <c r="B160">
        <v>0.96</v>
      </c>
    </row>
    <row r="161" spans="1:3" x14ac:dyDescent="0.25">
      <c r="A161" t="s">
        <v>520</v>
      </c>
      <c r="B161">
        <v>0.56999999999999995</v>
      </c>
    </row>
    <row r="163" spans="1:3" x14ac:dyDescent="0.25">
      <c r="A163" t="s">
        <v>513</v>
      </c>
      <c r="B163" t="s">
        <v>514</v>
      </c>
      <c r="C163" t="s">
        <v>53</v>
      </c>
    </row>
    <row r="164" spans="1:3" x14ac:dyDescent="0.25">
      <c r="A164" t="s">
        <v>516</v>
      </c>
      <c r="B164">
        <v>78.680000000000007</v>
      </c>
    </row>
    <row r="165" spans="1:3" x14ac:dyDescent="0.25">
      <c r="A165" t="s">
        <v>525</v>
      </c>
      <c r="B165">
        <v>78.42</v>
      </c>
    </row>
    <row r="166" spans="1:3" x14ac:dyDescent="0.25">
      <c r="A166" t="s">
        <v>526</v>
      </c>
      <c r="B166">
        <v>79</v>
      </c>
    </row>
    <row r="167" spans="1:3" x14ac:dyDescent="0.25">
      <c r="A167" t="s">
        <v>527</v>
      </c>
      <c r="B167">
        <v>78.37</v>
      </c>
    </row>
    <row r="168" spans="1:3" x14ac:dyDescent="0.25">
      <c r="A168" t="s">
        <v>528</v>
      </c>
      <c r="B168" s="21">
        <v>11430</v>
      </c>
    </row>
    <row r="169" spans="1:3" x14ac:dyDescent="0.25">
      <c r="A169" t="s">
        <v>529</v>
      </c>
      <c r="B169" s="22">
        <v>17249.43</v>
      </c>
    </row>
    <row r="170" spans="1:3" x14ac:dyDescent="0.25">
      <c r="A170" t="s">
        <v>530</v>
      </c>
      <c r="B170">
        <v>74.63</v>
      </c>
    </row>
    <row r="171" spans="1:3" x14ac:dyDescent="0.25">
      <c r="A171" t="s">
        <v>531</v>
      </c>
      <c r="B171">
        <v>100</v>
      </c>
    </row>
    <row r="172" spans="1:3" x14ac:dyDescent="0.25">
      <c r="A172" t="s">
        <v>533</v>
      </c>
      <c r="B172">
        <v>81</v>
      </c>
    </row>
    <row r="173" spans="1:3" x14ac:dyDescent="0.25">
      <c r="A173" t="s">
        <v>534</v>
      </c>
      <c r="B173">
        <v>700</v>
      </c>
    </row>
    <row r="174" spans="1:3" x14ac:dyDescent="0.25">
      <c r="A174" t="s">
        <v>535</v>
      </c>
      <c r="B174">
        <v>81</v>
      </c>
    </row>
    <row r="175" spans="1:3" x14ac:dyDescent="0.25">
      <c r="A175" t="s">
        <v>536</v>
      </c>
      <c r="B175">
        <v>67.319999999999993</v>
      </c>
    </row>
    <row r="176" spans="1:3" x14ac:dyDescent="0.25">
      <c r="A176" t="s">
        <v>537</v>
      </c>
      <c r="B176" t="s">
        <v>532</v>
      </c>
    </row>
    <row r="177" spans="1:3" x14ac:dyDescent="0.25">
      <c r="A177" t="s">
        <v>520</v>
      </c>
      <c r="B177">
        <v>1.3</v>
      </c>
    </row>
    <row r="179" spans="1:3" x14ac:dyDescent="0.25">
      <c r="A179" t="s">
        <v>513</v>
      </c>
      <c r="B179" t="s">
        <v>514</v>
      </c>
      <c r="C179" t="s">
        <v>57</v>
      </c>
    </row>
    <row r="180" spans="1:3" x14ac:dyDescent="0.25">
      <c r="A180" t="s">
        <v>516</v>
      </c>
      <c r="B180">
        <v>13.87</v>
      </c>
    </row>
    <row r="181" spans="1:3" x14ac:dyDescent="0.25">
      <c r="A181" t="s">
        <v>525</v>
      </c>
      <c r="B181">
        <v>13.8</v>
      </c>
    </row>
    <row r="182" spans="1:3" x14ac:dyDescent="0.25">
      <c r="A182" t="s">
        <v>526</v>
      </c>
      <c r="B182">
        <v>13.92</v>
      </c>
    </row>
    <row r="183" spans="1:3" x14ac:dyDescent="0.25">
      <c r="A183" t="s">
        <v>527</v>
      </c>
      <c r="B183">
        <v>13.77</v>
      </c>
    </row>
    <row r="184" spans="1:3" x14ac:dyDescent="0.25">
      <c r="A184" t="s">
        <v>528</v>
      </c>
      <c r="B184" s="21">
        <v>65551</v>
      </c>
    </row>
    <row r="185" spans="1:3" x14ac:dyDescent="0.25">
      <c r="A185" t="s">
        <v>529</v>
      </c>
      <c r="B185" s="22">
        <v>61623.839999999997</v>
      </c>
    </row>
    <row r="186" spans="1:3" x14ac:dyDescent="0.25">
      <c r="A186" t="s">
        <v>530</v>
      </c>
      <c r="B186">
        <v>13.16</v>
      </c>
    </row>
    <row r="187" spans="1:3" x14ac:dyDescent="0.25">
      <c r="A187" t="s">
        <v>531</v>
      </c>
      <c r="B187" s="21">
        <v>1000</v>
      </c>
    </row>
    <row r="188" spans="1:3" x14ac:dyDescent="0.25">
      <c r="A188" t="s">
        <v>533</v>
      </c>
      <c r="B188">
        <v>0</v>
      </c>
    </row>
    <row r="189" spans="1:3" x14ac:dyDescent="0.25">
      <c r="A189" t="s">
        <v>534</v>
      </c>
      <c r="B189" t="s">
        <v>532</v>
      </c>
    </row>
    <row r="190" spans="1:3" x14ac:dyDescent="0.25">
      <c r="A190" t="s">
        <v>535</v>
      </c>
      <c r="B190">
        <v>14.57</v>
      </c>
    </row>
    <row r="191" spans="1:3" x14ac:dyDescent="0.25">
      <c r="A191" t="s">
        <v>536</v>
      </c>
      <c r="B191">
        <v>11.95</v>
      </c>
    </row>
    <row r="192" spans="1:3" x14ac:dyDescent="0.25">
      <c r="A192" t="s">
        <v>537</v>
      </c>
      <c r="B192">
        <v>0.54</v>
      </c>
    </row>
    <row r="193" spans="1:3" x14ac:dyDescent="0.25">
      <c r="A193" t="s">
        <v>520</v>
      </c>
      <c r="B193">
        <v>3.88</v>
      </c>
    </row>
    <row r="195" spans="1:3" x14ac:dyDescent="0.25">
      <c r="A195" t="s">
        <v>513</v>
      </c>
      <c r="B195" t="s">
        <v>514</v>
      </c>
      <c r="C195" t="s">
        <v>67</v>
      </c>
    </row>
    <row r="196" spans="1:3" x14ac:dyDescent="0.25">
      <c r="A196" t="s">
        <v>516</v>
      </c>
      <c r="B196">
        <v>39.93</v>
      </c>
    </row>
    <row r="197" spans="1:3" x14ac:dyDescent="0.25">
      <c r="A197" t="s">
        <v>525</v>
      </c>
      <c r="B197">
        <v>39.799999999999997</v>
      </c>
    </row>
    <row r="198" spans="1:3" x14ac:dyDescent="0.25">
      <c r="A198" t="s">
        <v>526</v>
      </c>
      <c r="B198">
        <v>39.96</v>
      </c>
    </row>
    <row r="199" spans="1:3" x14ac:dyDescent="0.25">
      <c r="A199" t="s">
        <v>527</v>
      </c>
      <c r="B199">
        <v>39.69</v>
      </c>
    </row>
    <row r="200" spans="1:3" x14ac:dyDescent="0.25">
      <c r="A200" t="s">
        <v>528</v>
      </c>
      <c r="B200" s="21">
        <v>748567</v>
      </c>
    </row>
    <row r="201" spans="1:3" x14ac:dyDescent="0.25">
      <c r="A201" t="s">
        <v>529</v>
      </c>
      <c r="B201" s="22">
        <v>275811.23</v>
      </c>
    </row>
    <row r="202" spans="1:3" x14ac:dyDescent="0.25">
      <c r="A202" t="s">
        <v>530</v>
      </c>
      <c r="B202">
        <v>38.799999999999997</v>
      </c>
    </row>
    <row r="203" spans="1:3" x14ac:dyDescent="0.25">
      <c r="A203" t="s">
        <v>531</v>
      </c>
      <c r="B203">
        <v>100</v>
      </c>
    </row>
    <row r="204" spans="1:3" x14ac:dyDescent="0.25">
      <c r="A204" t="s">
        <v>533</v>
      </c>
      <c r="B204">
        <v>40.4</v>
      </c>
    </row>
    <row r="205" spans="1:3" x14ac:dyDescent="0.25">
      <c r="A205" t="s">
        <v>534</v>
      </c>
      <c r="B205" s="21">
        <v>1500</v>
      </c>
    </row>
    <row r="206" spans="1:3" x14ac:dyDescent="0.25">
      <c r="A206" t="s">
        <v>535</v>
      </c>
      <c r="B206">
        <v>42.96</v>
      </c>
    </row>
    <row r="207" spans="1:3" x14ac:dyDescent="0.25">
      <c r="A207" t="s">
        <v>536</v>
      </c>
      <c r="B207">
        <v>35.15</v>
      </c>
    </row>
    <row r="208" spans="1:3" x14ac:dyDescent="0.25">
      <c r="A208" t="s">
        <v>537</v>
      </c>
      <c r="B208">
        <v>0.62</v>
      </c>
    </row>
    <row r="209" spans="1:3" x14ac:dyDescent="0.25">
      <c r="A209" t="s">
        <v>520</v>
      </c>
      <c r="B209">
        <v>1.56</v>
      </c>
    </row>
    <row r="211" spans="1:3" x14ac:dyDescent="0.25">
      <c r="A211" t="s">
        <v>513</v>
      </c>
      <c r="B211" t="s">
        <v>514</v>
      </c>
      <c r="C211" t="s">
        <v>55</v>
      </c>
    </row>
    <row r="212" spans="1:3" x14ac:dyDescent="0.25">
      <c r="A212" t="s">
        <v>516</v>
      </c>
      <c r="B212">
        <v>25.88</v>
      </c>
    </row>
    <row r="213" spans="1:3" x14ac:dyDescent="0.25">
      <c r="A213" t="s">
        <v>525</v>
      </c>
      <c r="B213">
        <v>25.8</v>
      </c>
    </row>
    <row r="214" spans="1:3" x14ac:dyDescent="0.25">
      <c r="A214" t="s">
        <v>526</v>
      </c>
      <c r="B214">
        <v>25.96</v>
      </c>
    </row>
    <row r="215" spans="1:3" x14ac:dyDescent="0.25">
      <c r="A215" t="s">
        <v>527</v>
      </c>
      <c r="B215">
        <v>25.71</v>
      </c>
    </row>
    <row r="216" spans="1:3" x14ac:dyDescent="0.25">
      <c r="A216" t="s">
        <v>528</v>
      </c>
      <c r="B216" t="s">
        <v>597</v>
      </c>
    </row>
    <row r="217" spans="1:3" x14ac:dyDescent="0.25">
      <c r="A217" t="s">
        <v>529</v>
      </c>
      <c r="B217" t="s">
        <v>598</v>
      </c>
    </row>
    <row r="218" spans="1:3" x14ac:dyDescent="0.25">
      <c r="A218" t="s">
        <v>530</v>
      </c>
      <c r="B218">
        <v>25</v>
      </c>
    </row>
    <row r="219" spans="1:3" x14ac:dyDescent="0.25">
      <c r="A219" t="s">
        <v>531</v>
      </c>
      <c r="B219">
        <v>100</v>
      </c>
    </row>
    <row r="220" spans="1:3" x14ac:dyDescent="0.25">
      <c r="A220" t="s">
        <v>533</v>
      </c>
      <c r="B220">
        <v>26.2</v>
      </c>
    </row>
    <row r="221" spans="1:3" x14ac:dyDescent="0.25">
      <c r="A221" t="s">
        <v>534</v>
      </c>
      <c r="B221" s="21">
        <v>300</v>
      </c>
    </row>
    <row r="222" spans="1:3" x14ac:dyDescent="0.25">
      <c r="A222" t="s">
        <v>535</v>
      </c>
      <c r="B222">
        <v>25.96</v>
      </c>
    </row>
    <row r="223" spans="1:3" x14ac:dyDescent="0.25">
      <c r="A223" t="s">
        <v>536</v>
      </c>
      <c r="B223">
        <v>15.62</v>
      </c>
    </row>
    <row r="224" spans="1:3" x14ac:dyDescent="0.25">
      <c r="A224" t="s">
        <v>537</v>
      </c>
      <c r="B224" t="s">
        <v>532</v>
      </c>
    </row>
    <row r="225" spans="1:3" x14ac:dyDescent="0.25">
      <c r="A225" t="s">
        <v>520</v>
      </c>
      <c r="B225" t="s">
        <v>532</v>
      </c>
    </row>
    <row r="227" spans="1:3" x14ac:dyDescent="0.25">
      <c r="A227" t="s">
        <v>513</v>
      </c>
      <c r="B227" t="s">
        <v>514</v>
      </c>
      <c r="C227" t="s">
        <v>69</v>
      </c>
    </row>
    <row r="228" spans="1:3" x14ac:dyDescent="0.25">
      <c r="A228" t="s">
        <v>516</v>
      </c>
      <c r="B228">
        <v>47.63</v>
      </c>
    </row>
    <row r="229" spans="1:3" x14ac:dyDescent="0.25">
      <c r="A229" t="s">
        <v>525</v>
      </c>
      <c r="B229">
        <v>47.43</v>
      </c>
    </row>
    <row r="230" spans="1:3" x14ac:dyDescent="0.25">
      <c r="A230" t="s">
        <v>526</v>
      </c>
      <c r="B230">
        <v>48.36</v>
      </c>
    </row>
    <row r="231" spans="1:3" x14ac:dyDescent="0.25">
      <c r="A231" t="s">
        <v>527</v>
      </c>
      <c r="B231">
        <v>47.29</v>
      </c>
    </row>
    <row r="232" spans="1:3" x14ac:dyDescent="0.25">
      <c r="A232" t="s">
        <v>528</v>
      </c>
      <c r="B232" s="21" t="s">
        <v>630</v>
      </c>
    </row>
    <row r="233" spans="1:3" x14ac:dyDescent="0.25">
      <c r="A233" t="s">
        <v>529</v>
      </c>
      <c r="B233" s="22">
        <v>866335.23</v>
      </c>
    </row>
    <row r="234" spans="1:3" x14ac:dyDescent="0.25">
      <c r="A234" t="s">
        <v>530</v>
      </c>
      <c r="B234">
        <v>48.3</v>
      </c>
    </row>
    <row r="235" spans="1:3" x14ac:dyDescent="0.25">
      <c r="A235" t="s">
        <v>531</v>
      </c>
      <c r="B235" s="21">
        <v>1000</v>
      </c>
    </row>
    <row r="236" spans="1:3" x14ac:dyDescent="0.25">
      <c r="A236" t="s">
        <v>533</v>
      </c>
      <c r="B236">
        <v>50.55</v>
      </c>
    </row>
    <row r="237" spans="1:3" x14ac:dyDescent="0.25">
      <c r="A237" t="s">
        <v>534</v>
      </c>
      <c r="B237" s="21">
        <v>100</v>
      </c>
    </row>
    <row r="238" spans="1:3" x14ac:dyDescent="0.25">
      <c r="A238" t="s">
        <v>535</v>
      </c>
      <c r="B238">
        <v>54.49</v>
      </c>
    </row>
    <row r="239" spans="1:3" x14ac:dyDescent="0.25">
      <c r="A239" t="s">
        <v>536</v>
      </c>
      <c r="B239">
        <v>40.299999999999997</v>
      </c>
    </row>
    <row r="240" spans="1:3" x14ac:dyDescent="0.25">
      <c r="A240" t="s">
        <v>537</v>
      </c>
      <c r="B240" t="s">
        <v>532</v>
      </c>
    </row>
    <row r="241" spans="1:3" x14ac:dyDescent="0.25">
      <c r="A241" t="s">
        <v>520</v>
      </c>
      <c r="B241" t="s">
        <v>532</v>
      </c>
    </row>
    <row r="243" spans="1:3" x14ac:dyDescent="0.25">
      <c r="A243" t="s">
        <v>513</v>
      </c>
      <c r="B243" t="s">
        <v>514</v>
      </c>
      <c r="C243" t="s">
        <v>73</v>
      </c>
    </row>
    <row r="244" spans="1:3" x14ac:dyDescent="0.25">
      <c r="A244" t="s">
        <v>516</v>
      </c>
      <c r="B244">
        <v>54.99</v>
      </c>
    </row>
    <row r="245" spans="1:3" x14ac:dyDescent="0.25">
      <c r="A245" t="s">
        <v>525</v>
      </c>
      <c r="B245">
        <v>53.56</v>
      </c>
    </row>
    <row r="246" spans="1:3" x14ac:dyDescent="0.25">
      <c r="A246" t="s">
        <v>526</v>
      </c>
      <c r="B246">
        <v>53.56</v>
      </c>
    </row>
    <row r="247" spans="1:3" x14ac:dyDescent="0.25">
      <c r="A247" t="s">
        <v>527</v>
      </c>
      <c r="B247">
        <v>52.35</v>
      </c>
    </row>
    <row r="248" spans="1:3" x14ac:dyDescent="0.25">
      <c r="A248" t="s">
        <v>528</v>
      </c>
      <c r="B248" t="s">
        <v>643</v>
      </c>
    </row>
    <row r="249" spans="1:3" x14ac:dyDescent="0.25">
      <c r="A249" t="s">
        <v>529</v>
      </c>
      <c r="B249" t="s">
        <v>644</v>
      </c>
    </row>
    <row r="250" spans="1:3" x14ac:dyDescent="0.25">
      <c r="A250" t="s">
        <v>530</v>
      </c>
      <c r="B250">
        <v>52.56</v>
      </c>
    </row>
    <row r="251" spans="1:3" x14ac:dyDescent="0.25">
      <c r="A251" t="s">
        <v>531</v>
      </c>
      <c r="B251" s="21">
        <v>2200</v>
      </c>
    </row>
    <row r="252" spans="1:3" x14ac:dyDescent="0.25">
      <c r="A252" t="s">
        <v>533</v>
      </c>
      <c r="B252">
        <v>52.64</v>
      </c>
    </row>
    <row r="253" spans="1:3" x14ac:dyDescent="0.25">
      <c r="A253" t="s">
        <v>534</v>
      </c>
      <c r="B253" s="21">
        <v>200</v>
      </c>
    </row>
    <row r="254" spans="1:3" x14ac:dyDescent="0.25">
      <c r="A254" t="s">
        <v>535</v>
      </c>
      <c r="B254">
        <v>55.28</v>
      </c>
    </row>
    <row r="255" spans="1:3" x14ac:dyDescent="0.25">
      <c r="A255" t="s">
        <v>536</v>
      </c>
      <c r="B255">
        <v>40.28</v>
      </c>
    </row>
    <row r="256" spans="1:3" x14ac:dyDescent="0.25">
      <c r="A256" t="s">
        <v>537</v>
      </c>
      <c r="B256">
        <v>0.04</v>
      </c>
    </row>
    <row r="257" spans="1:3" x14ac:dyDescent="0.25">
      <c r="A257" t="s">
        <v>520</v>
      </c>
      <c r="B257">
        <v>7.0000000000000007E-2</v>
      </c>
    </row>
    <row r="259" spans="1:3" x14ac:dyDescent="0.25">
      <c r="A259" t="s">
        <v>513</v>
      </c>
      <c r="B259" t="s">
        <v>514</v>
      </c>
      <c r="C259" t="s">
        <v>98</v>
      </c>
    </row>
    <row r="260" spans="1:3" x14ac:dyDescent="0.25">
      <c r="A260" t="s">
        <v>516</v>
      </c>
      <c r="B260">
        <v>64.44</v>
      </c>
    </row>
    <row r="261" spans="1:3" x14ac:dyDescent="0.25">
      <c r="A261" t="s">
        <v>525</v>
      </c>
      <c r="B261">
        <v>64.25</v>
      </c>
    </row>
    <row r="262" spans="1:3" x14ac:dyDescent="0.25">
      <c r="A262" t="s">
        <v>526</v>
      </c>
      <c r="B262">
        <v>64.62</v>
      </c>
    </row>
    <row r="263" spans="1:3" x14ac:dyDescent="0.25">
      <c r="A263" t="s">
        <v>527</v>
      </c>
      <c r="B263">
        <v>63.89</v>
      </c>
    </row>
    <row r="264" spans="1:3" x14ac:dyDescent="0.25">
      <c r="A264" t="s">
        <v>528</v>
      </c>
      <c r="B264" s="21">
        <v>767461</v>
      </c>
    </row>
    <row r="265" spans="1:3" x14ac:dyDescent="0.25">
      <c r="A265" t="s">
        <v>529</v>
      </c>
      <c r="B265" t="s">
        <v>569</v>
      </c>
    </row>
    <row r="266" spans="1:3" x14ac:dyDescent="0.25">
      <c r="A266" t="s">
        <v>530</v>
      </c>
      <c r="B266">
        <v>63.62</v>
      </c>
    </row>
    <row r="267" spans="1:3" x14ac:dyDescent="0.25">
      <c r="A267" t="s">
        <v>531</v>
      </c>
      <c r="B267">
        <v>200</v>
      </c>
    </row>
    <row r="268" spans="1:3" x14ac:dyDescent="0.25">
      <c r="A268" t="s">
        <v>533</v>
      </c>
      <c r="B268">
        <v>66.900000000000006</v>
      </c>
    </row>
    <row r="269" spans="1:3" x14ac:dyDescent="0.25">
      <c r="A269" t="s">
        <v>534</v>
      </c>
      <c r="B269">
        <v>800</v>
      </c>
    </row>
    <row r="270" spans="1:3" x14ac:dyDescent="0.25">
      <c r="A270" t="s">
        <v>535</v>
      </c>
      <c r="B270">
        <v>66.92</v>
      </c>
    </row>
    <row r="271" spans="1:3" x14ac:dyDescent="0.25">
      <c r="A271" t="s">
        <v>536</v>
      </c>
      <c r="B271">
        <v>54.01</v>
      </c>
    </row>
    <row r="272" spans="1:3" x14ac:dyDescent="0.25">
      <c r="A272" t="s">
        <v>537</v>
      </c>
      <c r="B272">
        <v>2.76</v>
      </c>
    </row>
    <row r="273" spans="1:3" x14ac:dyDescent="0.25">
      <c r="A273" t="s">
        <v>520</v>
      </c>
      <c r="B273">
        <v>4.28</v>
      </c>
    </row>
    <row r="275" spans="1:3" x14ac:dyDescent="0.25">
      <c r="A275" t="s">
        <v>513</v>
      </c>
      <c r="B275" t="s">
        <v>514</v>
      </c>
      <c r="C275" t="s">
        <v>76</v>
      </c>
    </row>
    <row r="276" spans="1:3" x14ac:dyDescent="0.25">
      <c r="A276" t="s">
        <v>516</v>
      </c>
      <c r="B276">
        <v>94.8</v>
      </c>
    </row>
    <row r="277" spans="1:3" x14ac:dyDescent="0.25">
      <c r="A277" t="s">
        <v>525</v>
      </c>
      <c r="B277">
        <v>94.6</v>
      </c>
    </row>
    <row r="278" spans="1:3" x14ac:dyDescent="0.25">
      <c r="A278" t="s">
        <v>526</v>
      </c>
      <c r="B278">
        <v>95.09</v>
      </c>
    </row>
    <row r="279" spans="1:3" x14ac:dyDescent="0.25">
      <c r="A279" t="s">
        <v>527</v>
      </c>
      <c r="B279">
        <v>94.23</v>
      </c>
    </row>
    <row r="280" spans="1:3" x14ac:dyDescent="0.25">
      <c r="A280" t="s">
        <v>528</v>
      </c>
      <c r="B280" t="s">
        <v>568</v>
      </c>
    </row>
    <row r="281" spans="1:3" x14ac:dyDescent="0.25">
      <c r="A281" t="s">
        <v>529</v>
      </c>
      <c r="B281" t="s">
        <v>592</v>
      </c>
    </row>
    <row r="282" spans="1:3" x14ac:dyDescent="0.25">
      <c r="A282" t="s">
        <v>530</v>
      </c>
      <c r="B282">
        <v>94.31</v>
      </c>
    </row>
    <row r="283" spans="1:3" x14ac:dyDescent="0.25">
      <c r="A283" t="s">
        <v>531</v>
      </c>
      <c r="B283">
        <v>300</v>
      </c>
    </row>
    <row r="284" spans="1:3" x14ac:dyDescent="0.25">
      <c r="A284" t="s">
        <v>533</v>
      </c>
      <c r="B284">
        <v>94.73</v>
      </c>
    </row>
    <row r="285" spans="1:3" x14ac:dyDescent="0.25">
      <c r="A285" t="s">
        <v>534</v>
      </c>
      <c r="B285" s="21">
        <v>300</v>
      </c>
    </row>
    <row r="286" spans="1:3" x14ac:dyDescent="0.25">
      <c r="A286" t="s">
        <v>535</v>
      </c>
      <c r="B286">
        <v>95.99</v>
      </c>
    </row>
    <row r="287" spans="1:3" x14ac:dyDescent="0.25">
      <c r="A287" t="s">
        <v>536</v>
      </c>
      <c r="B287">
        <v>72.25</v>
      </c>
    </row>
    <row r="288" spans="1:3" x14ac:dyDescent="0.25">
      <c r="A288" t="s">
        <v>537</v>
      </c>
      <c r="B288">
        <v>2.64</v>
      </c>
    </row>
    <row r="289" spans="1:3" x14ac:dyDescent="0.25">
      <c r="A289" t="s">
        <v>520</v>
      </c>
      <c r="B289">
        <v>2.78</v>
      </c>
    </row>
    <row r="291" spans="1:3" x14ac:dyDescent="0.25">
      <c r="A291" t="s">
        <v>513</v>
      </c>
      <c r="B291" t="s">
        <v>514</v>
      </c>
      <c r="C291" t="s">
        <v>78</v>
      </c>
    </row>
    <row r="292" spans="1:3" x14ac:dyDescent="0.25">
      <c r="A292" t="s">
        <v>516</v>
      </c>
      <c r="B292">
        <v>52.52</v>
      </c>
    </row>
    <row r="293" spans="1:3" x14ac:dyDescent="0.25">
      <c r="A293" t="s">
        <v>525</v>
      </c>
      <c r="B293">
        <v>52.15</v>
      </c>
    </row>
    <row r="294" spans="1:3" x14ac:dyDescent="0.25">
      <c r="A294" t="s">
        <v>526</v>
      </c>
      <c r="B294">
        <v>52.98</v>
      </c>
    </row>
    <row r="295" spans="1:3" x14ac:dyDescent="0.25">
      <c r="A295" t="s">
        <v>527</v>
      </c>
      <c r="B295">
        <v>52.1</v>
      </c>
    </row>
    <row r="296" spans="1:3" x14ac:dyDescent="0.25">
      <c r="A296" t="s">
        <v>528</v>
      </c>
      <c r="B296" t="s">
        <v>607</v>
      </c>
    </row>
    <row r="297" spans="1:3" x14ac:dyDescent="0.25">
      <c r="A297" t="s">
        <v>529</v>
      </c>
      <c r="B297" t="s">
        <v>608</v>
      </c>
    </row>
    <row r="298" spans="1:3" x14ac:dyDescent="0.25">
      <c r="A298" t="s">
        <v>530</v>
      </c>
      <c r="B298">
        <v>52.45</v>
      </c>
    </row>
    <row r="299" spans="1:3" x14ac:dyDescent="0.25">
      <c r="A299" t="s">
        <v>531</v>
      </c>
      <c r="B299" s="21">
        <v>1000</v>
      </c>
    </row>
    <row r="300" spans="1:3" x14ac:dyDescent="0.25">
      <c r="A300" t="s">
        <v>533</v>
      </c>
      <c r="B300">
        <v>52.63</v>
      </c>
    </row>
    <row r="301" spans="1:3" x14ac:dyDescent="0.25">
      <c r="A301" t="s">
        <v>534</v>
      </c>
      <c r="B301">
        <v>600</v>
      </c>
    </row>
    <row r="302" spans="1:3" x14ac:dyDescent="0.25">
      <c r="A302" t="s">
        <v>535</v>
      </c>
      <c r="B302">
        <v>53.44</v>
      </c>
    </row>
    <row r="303" spans="1:3" x14ac:dyDescent="0.25">
      <c r="A303" t="s">
        <v>536</v>
      </c>
      <c r="B303">
        <v>40.83</v>
      </c>
    </row>
    <row r="304" spans="1:3" x14ac:dyDescent="0.25">
      <c r="A304" t="s">
        <v>537</v>
      </c>
      <c r="B304">
        <v>1.76</v>
      </c>
    </row>
    <row r="305" spans="1:3" x14ac:dyDescent="0.25">
      <c r="A305" t="s">
        <v>520</v>
      </c>
      <c r="B305">
        <v>3.35</v>
      </c>
    </row>
    <row r="307" spans="1:3" x14ac:dyDescent="0.25">
      <c r="A307" t="s">
        <v>513</v>
      </c>
      <c r="B307" t="s">
        <v>514</v>
      </c>
      <c r="C307" t="s">
        <v>80</v>
      </c>
    </row>
    <row r="308" spans="1:3" x14ac:dyDescent="0.25">
      <c r="A308" t="s">
        <v>516</v>
      </c>
      <c r="B308">
        <v>0.08</v>
      </c>
    </row>
    <row r="309" spans="1:3" x14ac:dyDescent="0.25">
      <c r="A309" t="s">
        <v>525</v>
      </c>
      <c r="B309">
        <v>0.08</v>
      </c>
    </row>
    <row r="310" spans="1:3" x14ac:dyDescent="0.25">
      <c r="A310" t="s">
        <v>526</v>
      </c>
      <c r="B310">
        <v>0.08</v>
      </c>
    </row>
    <row r="311" spans="1:3" x14ac:dyDescent="0.25">
      <c r="A311" t="s">
        <v>527</v>
      </c>
      <c r="B311">
        <v>0.08</v>
      </c>
    </row>
    <row r="312" spans="1:3" x14ac:dyDescent="0.25">
      <c r="A312" t="s">
        <v>528</v>
      </c>
      <c r="B312">
        <v>448</v>
      </c>
    </row>
    <row r="313" spans="1:3" x14ac:dyDescent="0.25">
      <c r="A313" t="s">
        <v>529</v>
      </c>
      <c r="B313" s="22">
        <v>2704.36</v>
      </c>
    </row>
    <row r="314" spans="1:3" x14ac:dyDescent="0.25">
      <c r="A314" t="s">
        <v>530</v>
      </c>
      <c r="B314">
        <v>0</v>
      </c>
    </row>
    <row r="315" spans="1:3" x14ac:dyDescent="0.25">
      <c r="A315" t="s">
        <v>531</v>
      </c>
      <c r="B315" t="s">
        <v>532</v>
      </c>
    </row>
    <row r="316" spans="1:3" x14ac:dyDescent="0.25">
      <c r="A316" t="s">
        <v>533</v>
      </c>
      <c r="B316">
        <v>0</v>
      </c>
    </row>
    <row r="317" spans="1:3" x14ac:dyDescent="0.25">
      <c r="A317" t="s">
        <v>534</v>
      </c>
      <c r="B317" t="s">
        <v>532</v>
      </c>
    </row>
    <row r="318" spans="1:3" x14ac:dyDescent="0.25">
      <c r="A318" t="s">
        <v>535</v>
      </c>
      <c r="B318">
        <v>0.19</v>
      </c>
    </row>
    <row r="319" spans="1:3" x14ac:dyDescent="0.25">
      <c r="A319" t="s">
        <v>536</v>
      </c>
      <c r="B319">
        <v>0.08</v>
      </c>
    </row>
    <row r="320" spans="1:3" x14ac:dyDescent="0.25">
      <c r="A320" t="s">
        <v>537</v>
      </c>
      <c r="B320" t="s">
        <v>532</v>
      </c>
    </row>
    <row r="321" spans="1:3" x14ac:dyDescent="0.25">
      <c r="A321" t="s">
        <v>520</v>
      </c>
      <c r="B321" t="s">
        <v>532</v>
      </c>
    </row>
    <row r="323" spans="1:3" x14ac:dyDescent="0.25">
      <c r="A323" t="s">
        <v>513</v>
      </c>
      <c r="B323" t="s">
        <v>514</v>
      </c>
      <c r="C323" t="s">
        <v>82</v>
      </c>
    </row>
    <row r="324" spans="1:3" x14ac:dyDescent="0.25">
      <c r="A324" t="s">
        <v>516</v>
      </c>
      <c r="B324">
        <v>0.2</v>
      </c>
    </row>
    <row r="325" spans="1:3" x14ac:dyDescent="0.25">
      <c r="A325" t="s">
        <v>525</v>
      </c>
      <c r="B325">
        <v>0.2</v>
      </c>
    </row>
    <row r="326" spans="1:3" x14ac:dyDescent="0.25">
      <c r="A326" t="s">
        <v>526</v>
      </c>
      <c r="B326">
        <v>0.2</v>
      </c>
    </row>
    <row r="327" spans="1:3" x14ac:dyDescent="0.25">
      <c r="A327" t="s">
        <v>527</v>
      </c>
      <c r="B327">
        <v>0.17</v>
      </c>
    </row>
    <row r="328" spans="1:3" x14ac:dyDescent="0.25">
      <c r="A328" t="s">
        <v>528</v>
      </c>
      <c r="B328" s="21">
        <v>15900</v>
      </c>
    </row>
    <row r="329" spans="1:3" x14ac:dyDescent="0.25">
      <c r="A329" t="s">
        <v>529</v>
      </c>
      <c r="B329" t="s">
        <v>532</v>
      </c>
    </row>
    <row r="330" spans="1:3" x14ac:dyDescent="0.25">
      <c r="A330" t="s">
        <v>530</v>
      </c>
      <c r="B330">
        <v>0</v>
      </c>
    </row>
    <row r="331" spans="1:3" x14ac:dyDescent="0.25">
      <c r="A331" t="s">
        <v>531</v>
      </c>
      <c r="B331" t="s">
        <v>532</v>
      </c>
    </row>
    <row r="332" spans="1:3" x14ac:dyDescent="0.25">
      <c r="A332" t="s">
        <v>533</v>
      </c>
      <c r="B332">
        <v>0</v>
      </c>
    </row>
    <row r="333" spans="1:3" x14ac:dyDescent="0.25">
      <c r="A333" t="s">
        <v>534</v>
      </c>
      <c r="B333" t="s">
        <v>532</v>
      </c>
    </row>
    <row r="334" spans="1:3" x14ac:dyDescent="0.25">
      <c r="A334" t="s">
        <v>535</v>
      </c>
      <c r="B334">
        <v>0.25</v>
      </c>
    </row>
    <row r="335" spans="1:3" x14ac:dyDescent="0.25">
      <c r="A335" t="s">
        <v>536</v>
      </c>
      <c r="B335">
        <v>0.11</v>
      </c>
    </row>
    <row r="336" spans="1:3" x14ac:dyDescent="0.25">
      <c r="A336" t="s">
        <v>537</v>
      </c>
      <c r="B336" t="s">
        <v>532</v>
      </c>
    </row>
    <row r="337" spans="1:3" x14ac:dyDescent="0.25">
      <c r="A337" t="s">
        <v>520</v>
      </c>
      <c r="B337" t="s">
        <v>532</v>
      </c>
    </row>
    <row r="339" spans="1:3" x14ac:dyDescent="0.25">
      <c r="A339" t="s">
        <v>513</v>
      </c>
      <c r="B339" t="s">
        <v>514</v>
      </c>
      <c r="C339" t="s">
        <v>100</v>
      </c>
    </row>
    <row r="340" spans="1:3" x14ac:dyDescent="0.25">
      <c r="A340" t="s">
        <v>516</v>
      </c>
      <c r="B340">
        <v>23.7</v>
      </c>
    </row>
    <row r="341" spans="1:3" x14ac:dyDescent="0.25">
      <c r="A341" t="s">
        <v>525</v>
      </c>
      <c r="B341">
        <v>23.6</v>
      </c>
    </row>
    <row r="342" spans="1:3" x14ac:dyDescent="0.25">
      <c r="A342" t="s">
        <v>526</v>
      </c>
      <c r="B342">
        <v>23.85</v>
      </c>
    </row>
    <row r="343" spans="1:3" x14ac:dyDescent="0.25">
      <c r="A343" t="s">
        <v>527</v>
      </c>
      <c r="B343">
        <v>23.54</v>
      </c>
    </row>
    <row r="344" spans="1:3" x14ac:dyDescent="0.25">
      <c r="A344" t="s">
        <v>528</v>
      </c>
      <c r="B344" s="21">
        <v>94408</v>
      </c>
    </row>
    <row r="345" spans="1:3" x14ac:dyDescent="0.25">
      <c r="A345" t="s">
        <v>529</v>
      </c>
      <c r="B345" s="22">
        <v>144933.04999999999</v>
      </c>
    </row>
    <row r="346" spans="1:3" x14ac:dyDescent="0.25">
      <c r="A346" t="s">
        <v>530</v>
      </c>
      <c r="B346">
        <v>22.48</v>
      </c>
    </row>
    <row r="347" spans="1:3" x14ac:dyDescent="0.25">
      <c r="A347" t="s">
        <v>531</v>
      </c>
      <c r="B347">
        <v>200</v>
      </c>
    </row>
    <row r="348" spans="1:3" x14ac:dyDescent="0.25">
      <c r="A348" t="s">
        <v>533</v>
      </c>
      <c r="B348">
        <v>27.4</v>
      </c>
    </row>
    <row r="349" spans="1:3" x14ac:dyDescent="0.25">
      <c r="A349" t="s">
        <v>534</v>
      </c>
      <c r="B349">
        <v>100</v>
      </c>
    </row>
    <row r="350" spans="1:3" x14ac:dyDescent="0.25">
      <c r="A350" t="s">
        <v>535</v>
      </c>
      <c r="B350">
        <v>24.7</v>
      </c>
    </row>
    <row r="351" spans="1:3" x14ac:dyDescent="0.25">
      <c r="A351" t="s">
        <v>536</v>
      </c>
      <c r="B351">
        <v>18.05</v>
      </c>
    </row>
    <row r="352" spans="1:3" x14ac:dyDescent="0.25">
      <c r="A352" t="s">
        <v>537</v>
      </c>
      <c r="B352">
        <v>2</v>
      </c>
    </row>
    <row r="353" spans="1:3" x14ac:dyDescent="0.25">
      <c r="A353" t="s">
        <v>520</v>
      </c>
      <c r="B353">
        <v>8.44</v>
      </c>
    </row>
    <row r="355" spans="1:3" x14ac:dyDescent="0.25">
      <c r="A355" t="s">
        <v>513</v>
      </c>
      <c r="B355" t="s">
        <v>514</v>
      </c>
      <c r="C355" t="s">
        <v>88</v>
      </c>
    </row>
    <row r="356" spans="1:3" x14ac:dyDescent="0.25">
      <c r="A356" t="s">
        <v>516</v>
      </c>
      <c r="B356">
        <v>40.51</v>
      </c>
    </row>
    <row r="357" spans="1:3" x14ac:dyDescent="0.25">
      <c r="A357" t="s">
        <v>525</v>
      </c>
      <c r="B357">
        <v>40.479999999999997</v>
      </c>
    </row>
    <row r="358" spans="1:3" x14ac:dyDescent="0.25">
      <c r="A358" t="s">
        <v>526</v>
      </c>
      <c r="B358">
        <v>40.69</v>
      </c>
    </row>
    <row r="359" spans="1:3" x14ac:dyDescent="0.25">
      <c r="A359" t="s">
        <v>527</v>
      </c>
      <c r="B359">
        <v>40.32</v>
      </c>
    </row>
    <row r="360" spans="1:3" x14ac:dyDescent="0.25">
      <c r="A360" t="s">
        <v>528</v>
      </c>
      <c r="B360" t="s">
        <v>609</v>
      </c>
    </row>
    <row r="361" spans="1:3" x14ac:dyDescent="0.25">
      <c r="A361" t="s">
        <v>529</v>
      </c>
      <c r="B361" t="s">
        <v>610</v>
      </c>
    </row>
    <row r="362" spans="1:3" x14ac:dyDescent="0.25">
      <c r="A362" t="s">
        <v>530</v>
      </c>
      <c r="B362">
        <v>40.54</v>
      </c>
    </row>
    <row r="363" spans="1:3" x14ac:dyDescent="0.25">
      <c r="A363" t="s">
        <v>531</v>
      </c>
      <c r="B363" s="21">
        <v>1000</v>
      </c>
    </row>
    <row r="364" spans="1:3" x14ac:dyDescent="0.25">
      <c r="A364" t="s">
        <v>533</v>
      </c>
      <c r="B364">
        <v>41.09</v>
      </c>
    </row>
    <row r="365" spans="1:3" x14ac:dyDescent="0.25">
      <c r="A365" t="s">
        <v>534</v>
      </c>
      <c r="B365" s="21">
        <v>200</v>
      </c>
    </row>
    <row r="366" spans="1:3" x14ac:dyDescent="0.25">
      <c r="A366" t="s">
        <v>535</v>
      </c>
      <c r="B366">
        <v>48.5</v>
      </c>
    </row>
    <row r="367" spans="1:3" x14ac:dyDescent="0.25">
      <c r="A367" t="s">
        <v>536</v>
      </c>
      <c r="B367">
        <v>39.43</v>
      </c>
    </row>
    <row r="368" spans="1:3" x14ac:dyDescent="0.25">
      <c r="A368" t="s">
        <v>537</v>
      </c>
      <c r="B368">
        <v>1.82</v>
      </c>
    </row>
    <row r="369" spans="1:3" x14ac:dyDescent="0.25">
      <c r="A369" t="s">
        <v>520</v>
      </c>
      <c r="B369">
        <v>4.49</v>
      </c>
    </row>
    <row r="371" spans="1:3" x14ac:dyDescent="0.25">
      <c r="A371" t="s">
        <v>513</v>
      </c>
      <c r="B371" t="s">
        <v>514</v>
      </c>
      <c r="C371" t="s">
        <v>90</v>
      </c>
    </row>
    <row r="372" spans="1:3" x14ac:dyDescent="0.25">
      <c r="A372" t="s">
        <v>516</v>
      </c>
      <c r="B372">
        <v>17.41</v>
      </c>
    </row>
    <row r="373" spans="1:3" x14ac:dyDescent="0.25">
      <c r="A373" t="s">
        <v>525</v>
      </c>
      <c r="B373">
        <v>17.28</v>
      </c>
    </row>
    <row r="374" spans="1:3" x14ac:dyDescent="0.25">
      <c r="A374" t="s">
        <v>526</v>
      </c>
      <c r="B374">
        <v>17.32</v>
      </c>
    </row>
    <row r="375" spans="1:3" x14ac:dyDescent="0.25">
      <c r="A375" t="s">
        <v>527</v>
      </c>
      <c r="B375">
        <v>17.170000000000002</v>
      </c>
    </row>
    <row r="376" spans="1:3" x14ac:dyDescent="0.25">
      <c r="A376" t="s">
        <v>528</v>
      </c>
      <c r="B376" t="s">
        <v>609</v>
      </c>
    </row>
    <row r="377" spans="1:3" x14ac:dyDescent="0.25">
      <c r="A377" t="s">
        <v>529</v>
      </c>
      <c r="B377" t="s">
        <v>642</v>
      </c>
    </row>
    <row r="378" spans="1:3" x14ac:dyDescent="0.25">
      <c r="A378" t="s">
        <v>530</v>
      </c>
      <c r="B378">
        <v>17.02</v>
      </c>
    </row>
    <row r="379" spans="1:3" x14ac:dyDescent="0.25">
      <c r="A379" t="s">
        <v>531</v>
      </c>
      <c r="B379">
        <v>100</v>
      </c>
    </row>
    <row r="380" spans="1:3" x14ac:dyDescent="0.25">
      <c r="A380" t="s">
        <v>533</v>
      </c>
      <c r="B380">
        <v>17.670000000000002</v>
      </c>
    </row>
    <row r="381" spans="1:3" x14ac:dyDescent="0.25">
      <c r="A381" t="s">
        <v>534</v>
      </c>
      <c r="B381">
        <v>600</v>
      </c>
    </row>
    <row r="382" spans="1:3" x14ac:dyDescent="0.25">
      <c r="A382" t="s">
        <v>535</v>
      </c>
      <c r="B382">
        <v>23.38</v>
      </c>
    </row>
    <row r="383" spans="1:3" x14ac:dyDescent="0.25">
      <c r="A383" t="s">
        <v>536</v>
      </c>
      <c r="B383">
        <v>11.17</v>
      </c>
    </row>
    <row r="384" spans="1:3" x14ac:dyDescent="0.25">
      <c r="A384" t="s">
        <v>537</v>
      </c>
      <c r="B384">
        <v>0.25</v>
      </c>
    </row>
    <row r="385" spans="1:3" x14ac:dyDescent="0.25">
      <c r="A385" t="s">
        <v>520</v>
      </c>
      <c r="B385">
        <v>1.59</v>
      </c>
    </row>
    <row r="387" spans="1:3" x14ac:dyDescent="0.25">
      <c r="A387" t="s">
        <v>513</v>
      </c>
      <c r="B387" t="s">
        <v>514</v>
      </c>
      <c r="C387" t="s">
        <v>92</v>
      </c>
    </row>
    <row r="388" spans="1:3" x14ac:dyDescent="0.25">
      <c r="A388" t="s">
        <v>516</v>
      </c>
      <c r="B388">
        <v>44.29</v>
      </c>
    </row>
    <row r="389" spans="1:3" x14ac:dyDescent="0.25">
      <c r="A389" t="s">
        <v>525</v>
      </c>
      <c r="B389">
        <v>44.28</v>
      </c>
    </row>
    <row r="390" spans="1:3" x14ac:dyDescent="0.25">
      <c r="A390" t="s">
        <v>526</v>
      </c>
      <c r="B390">
        <v>44.43</v>
      </c>
    </row>
    <row r="391" spans="1:3" x14ac:dyDescent="0.25">
      <c r="A391" t="s">
        <v>527</v>
      </c>
      <c r="B391">
        <v>44.14</v>
      </c>
    </row>
    <row r="392" spans="1:3" x14ac:dyDescent="0.25">
      <c r="A392" t="s">
        <v>528</v>
      </c>
      <c r="B392" s="21">
        <v>813514</v>
      </c>
    </row>
    <row r="393" spans="1:3" x14ac:dyDescent="0.25">
      <c r="A393" t="s">
        <v>529</v>
      </c>
      <c r="B393" t="s">
        <v>601</v>
      </c>
    </row>
    <row r="394" spans="1:3" x14ac:dyDescent="0.25">
      <c r="A394" t="s">
        <v>530</v>
      </c>
      <c r="B394">
        <v>43.5</v>
      </c>
    </row>
    <row r="395" spans="1:3" x14ac:dyDescent="0.25">
      <c r="A395" t="s">
        <v>531</v>
      </c>
      <c r="B395">
        <v>300</v>
      </c>
    </row>
    <row r="396" spans="1:3" x14ac:dyDescent="0.25">
      <c r="A396" t="s">
        <v>533</v>
      </c>
      <c r="B396">
        <v>45.58</v>
      </c>
    </row>
    <row r="397" spans="1:3" x14ac:dyDescent="0.25">
      <c r="A397" t="s">
        <v>534</v>
      </c>
      <c r="B397">
        <v>100</v>
      </c>
    </row>
    <row r="398" spans="1:3" x14ac:dyDescent="0.25">
      <c r="A398" t="s">
        <v>535</v>
      </c>
      <c r="B398">
        <v>54.62</v>
      </c>
    </row>
    <row r="399" spans="1:3" x14ac:dyDescent="0.25">
      <c r="A399" t="s">
        <v>536</v>
      </c>
      <c r="B399">
        <v>42.95</v>
      </c>
    </row>
    <row r="400" spans="1:3" x14ac:dyDescent="0.25">
      <c r="A400" t="s">
        <v>537</v>
      </c>
      <c r="B400">
        <v>1.76</v>
      </c>
    </row>
    <row r="401" spans="1:3" x14ac:dyDescent="0.25">
      <c r="A401" t="s">
        <v>520</v>
      </c>
      <c r="B401">
        <v>3.97</v>
      </c>
    </row>
    <row r="403" spans="1:3" x14ac:dyDescent="0.25">
      <c r="A403" t="s">
        <v>513</v>
      </c>
      <c r="B403" t="s">
        <v>514</v>
      </c>
      <c r="C403" t="s">
        <v>102</v>
      </c>
    </row>
    <row r="404" spans="1:3" x14ac:dyDescent="0.25">
      <c r="A404" t="s">
        <v>516</v>
      </c>
      <c r="B404">
        <v>81.72</v>
      </c>
    </row>
    <row r="405" spans="1:3" x14ac:dyDescent="0.25">
      <c r="A405" t="s">
        <v>525</v>
      </c>
      <c r="B405">
        <v>81.540000000000006</v>
      </c>
    </row>
    <row r="406" spans="1:3" x14ac:dyDescent="0.25">
      <c r="A406" t="s">
        <v>526</v>
      </c>
      <c r="B406">
        <v>81.739999999999995</v>
      </c>
    </row>
    <row r="407" spans="1:3" x14ac:dyDescent="0.25">
      <c r="A407" t="s">
        <v>527</v>
      </c>
      <c r="B407">
        <v>80.599999999999994</v>
      </c>
    </row>
    <row r="408" spans="1:3" x14ac:dyDescent="0.25">
      <c r="A408" t="s">
        <v>528</v>
      </c>
      <c r="B408" t="s">
        <v>615</v>
      </c>
    </row>
    <row r="409" spans="1:3" x14ac:dyDescent="0.25">
      <c r="A409" t="s">
        <v>529</v>
      </c>
      <c r="B409" t="s">
        <v>616</v>
      </c>
    </row>
    <row r="410" spans="1:3" x14ac:dyDescent="0.25">
      <c r="A410" t="s">
        <v>530</v>
      </c>
      <c r="B410">
        <v>81.11</v>
      </c>
    </row>
    <row r="411" spans="1:3" x14ac:dyDescent="0.25">
      <c r="A411" t="s">
        <v>531</v>
      </c>
      <c r="B411">
        <v>200</v>
      </c>
    </row>
    <row r="412" spans="1:3" x14ac:dyDescent="0.25">
      <c r="A412" t="s">
        <v>533</v>
      </c>
      <c r="B412">
        <v>83.6</v>
      </c>
    </row>
    <row r="413" spans="1:3" x14ac:dyDescent="0.25">
      <c r="A413" t="s">
        <v>534</v>
      </c>
      <c r="B413">
        <v>100</v>
      </c>
    </row>
    <row r="414" spans="1:3" x14ac:dyDescent="0.25">
      <c r="A414" t="s">
        <v>535</v>
      </c>
      <c r="B414">
        <v>98.47</v>
      </c>
    </row>
    <row r="415" spans="1:3" x14ac:dyDescent="0.25">
      <c r="A415" t="s">
        <v>536</v>
      </c>
      <c r="B415">
        <v>73.599999999999994</v>
      </c>
    </row>
    <row r="416" spans="1:3" x14ac:dyDescent="0.25">
      <c r="A416" t="s">
        <v>537</v>
      </c>
      <c r="B416">
        <v>0.72</v>
      </c>
    </row>
    <row r="417" spans="1:3" x14ac:dyDescent="0.25">
      <c r="A417" t="s">
        <v>520</v>
      </c>
      <c r="B417">
        <v>0.88</v>
      </c>
    </row>
    <row r="419" spans="1:3" x14ac:dyDescent="0.25">
      <c r="A419" t="s">
        <v>513</v>
      </c>
      <c r="B419" t="s">
        <v>514</v>
      </c>
      <c r="C419" t="s">
        <v>111</v>
      </c>
    </row>
    <row r="420" spans="1:3" x14ac:dyDescent="0.25">
      <c r="A420" t="s">
        <v>516</v>
      </c>
      <c r="B420">
        <v>39.65</v>
      </c>
    </row>
    <row r="421" spans="1:3" x14ac:dyDescent="0.25">
      <c r="A421" t="s">
        <v>525</v>
      </c>
      <c r="B421">
        <v>39.71</v>
      </c>
    </row>
    <row r="422" spans="1:3" x14ac:dyDescent="0.25">
      <c r="A422" t="s">
        <v>526</v>
      </c>
      <c r="B422">
        <v>39.71</v>
      </c>
    </row>
    <row r="423" spans="1:3" x14ac:dyDescent="0.25">
      <c r="A423" t="s">
        <v>527</v>
      </c>
      <c r="B423">
        <v>39.630000000000003</v>
      </c>
    </row>
    <row r="424" spans="1:3" x14ac:dyDescent="0.25">
      <c r="A424" t="s">
        <v>528</v>
      </c>
      <c r="B424" s="21">
        <v>8334</v>
      </c>
    </row>
    <row r="425" spans="1:3" x14ac:dyDescent="0.25">
      <c r="A425" t="s">
        <v>529</v>
      </c>
      <c r="B425" t="s">
        <v>532</v>
      </c>
    </row>
    <row r="426" spans="1:3" x14ac:dyDescent="0.25">
      <c r="A426" t="s">
        <v>530</v>
      </c>
      <c r="B426">
        <v>39.6</v>
      </c>
    </row>
    <row r="427" spans="1:3" x14ac:dyDescent="0.25">
      <c r="A427" t="s">
        <v>531</v>
      </c>
      <c r="B427">
        <v>600</v>
      </c>
    </row>
    <row r="428" spans="1:3" x14ac:dyDescent="0.25">
      <c r="A428" t="s">
        <v>533</v>
      </c>
      <c r="B428">
        <v>43.2</v>
      </c>
    </row>
    <row r="429" spans="1:3" x14ac:dyDescent="0.25">
      <c r="A429" t="s">
        <v>534</v>
      </c>
      <c r="B429">
        <v>100</v>
      </c>
    </row>
    <row r="430" spans="1:3" x14ac:dyDescent="0.25">
      <c r="A430" t="s">
        <v>535</v>
      </c>
      <c r="B430">
        <v>41.9</v>
      </c>
    </row>
    <row r="431" spans="1:3" x14ac:dyDescent="0.25">
      <c r="A431" t="s">
        <v>536</v>
      </c>
      <c r="B431">
        <v>31.8</v>
      </c>
    </row>
    <row r="432" spans="1:3" x14ac:dyDescent="0.25">
      <c r="A432" t="s">
        <v>537</v>
      </c>
      <c r="B432" t="s">
        <v>532</v>
      </c>
    </row>
    <row r="433" spans="1:3" x14ac:dyDescent="0.25">
      <c r="A433" t="s">
        <v>520</v>
      </c>
      <c r="B433" t="s">
        <v>532</v>
      </c>
    </row>
    <row r="435" spans="1:3" x14ac:dyDescent="0.25">
      <c r="A435" t="s">
        <v>513</v>
      </c>
      <c r="B435" t="s">
        <v>514</v>
      </c>
      <c r="C435" t="s">
        <v>118</v>
      </c>
    </row>
    <row r="436" spans="1:3" x14ac:dyDescent="0.25">
      <c r="A436" t="s">
        <v>516</v>
      </c>
      <c r="B436">
        <v>63.73</v>
      </c>
    </row>
    <row r="437" spans="1:3" x14ac:dyDescent="0.25">
      <c r="A437" t="s">
        <v>525</v>
      </c>
      <c r="B437">
        <v>63.65</v>
      </c>
    </row>
    <row r="438" spans="1:3" x14ac:dyDescent="0.25">
      <c r="A438" t="s">
        <v>526</v>
      </c>
      <c r="B438">
        <v>64.2</v>
      </c>
    </row>
    <row r="439" spans="1:3" x14ac:dyDescent="0.25">
      <c r="A439" t="s">
        <v>527</v>
      </c>
      <c r="B439">
        <v>63.31</v>
      </c>
    </row>
    <row r="440" spans="1:3" x14ac:dyDescent="0.25">
      <c r="A440" t="s">
        <v>528</v>
      </c>
      <c r="B440" t="s">
        <v>613</v>
      </c>
    </row>
    <row r="441" spans="1:3" x14ac:dyDescent="0.25">
      <c r="A441" t="s">
        <v>529</v>
      </c>
      <c r="B441" t="s">
        <v>614</v>
      </c>
    </row>
    <row r="442" spans="1:3" x14ac:dyDescent="0.25">
      <c r="A442" t="s">
        <v>530</v>
      </c>
      <c r="B442">
        <v>62.96</v>
      </c>
    </row>
    <row r="443" spans="1:3" x14ac:dyDescent="0.25">
      <c r="A443" t="s">
        <v>531</v>
      </c>
      <c r="B443">
        <v>200</v>
      </c>
    </row>
    <row r="444" spans="1:3" x14ac:dyDescent="0.25">
      <c r="A444" t="s">
        <v>533</v>
      </c>
      <c r="B444">
        <v>64.98</v>
      </c>
    </row>
    <row r="445" spans="1:3" x14ac:dyDescent="0.25">
      <c r="A445" t="s">
        <v>534</v>
      </c>
      <c r="B445" s="21">
        <v>100</v>
      </c>
    </row>
    <row r="446" spans="1:3" x14ac:dyDescent="0.25">
      <c r="A446" t="s">
        <v>535</v>
      </c>
      <c r="B446">
        <v>65</v>
      </c>
    </row>
    <row r="447" spans="1:3" x14ac:dyDescent="0.25">
      <c r="A447" t="s">
        <v>536</v>
      </c>
      <c r="B447">
        <v>45.62</v>
      </c>
    </row>
    <row r="448" spans="1:3" x14ac:dyDescent="0.25">
      <c r="A448" t="s">
        <v>537</v>
      </c>
      <c r="B448">
        <v>1.8</v>
      </c>
    </row>
    <row r="449" spans="1:3" x14ac:dyDescent="0.25">
      <c r="A449" t="s">
        <v>520</v>
      </c>
      <c r="B449">
        <v>2.82</v>
      </c>
    </row>
    <row r="451" spans="1:3" x14ac:dyDescent="0.25">
      <c r="A451" t="s">
        <v>513</v>
      </c>
      <c r="B451" t="s">
        <v>514</v>
      </c>
      <c r="C451" t="s">
        <v>120</v>
      </c>
    </row>
    <row r="452" spans="1:3" x14ac:dyDescent="0.25">
      <c r="A452" t="s">
        <v>516</v>
      </c>
      <c r="B452">
        <v>27.34</v>
      </c>
    </row>
    <row r="453" spans="1:3" x14ac:dyDescent="0.25">
      <c r="A453" t="s">
        <v>525</v>
      </c>
      <c r="B453">
        <v>27.22</v>
      </c>
    </row>
    <row r="454" spans="1:3" x14ac:dyDescent="0.25">
      <c r="A454" t="s">
        <v>526</v>
      </c>
      <c r="B454">
        <v>27.27</v>
      </c>
    </row>
    <row r="455" spans="1:3" x14ac:dyDescent="0.25">
      <c r="A455" t="s">
        <v>527</v>
      </c>
      <c r="B455">
        <v>27.08</v>
      </c>
    </row>
    <row r="456" spans="1:3" x14ac:dyDescent="0.25">
      <c r="A456" t="s">
        <v>528</v>
      </c>
      <c r="B456" t="s">
        <v>633</v>
      </c>
    </row>
    <row r="457" spans="1:3" x14ac:dyDescent="0.25">
      <c r="A457" t="s">
        <v>529</v>
      </c>
      <c r="B457" t="s">
        <v>634</v>
      </c>
    </row>
    <row r="458" spans="1:3" x14ac:dyDescent="0.25">
      <c r="A458" t="s">
        <v>530</v>
      </c>
      <c r="B458">
        <v>23.2</v>
      </c>
    </row>
    <row r="459" spans="1:3" x14ac:dyDescent="0.25">
      <c r="A459" t="s">
        <v>531</v>
      </c>
      <c r="B459">
        <v>100</v>
      </c>
    </row>
    <row r="460" spans="1:3" x14ac:dyDescent="0.25">
      <c r="A460" t="s">
        <v>533</v>
      </c>
      <c r="B460">
        <v>0</v>
      </c>
    </row>
    <row r="461" spans="1:3" x14ac:dyDescent="0.25">
      <c r="A461" t="s">
        <v>534</v>
      </c>
      <c r="B461" t="s">
        <v>532</v>
      </c>
    </row>
    <row r="462" spans="1:3" x14ac:dyDescent="0.25">
      <c r="A462" t="s">
        <v>535</v>
      </c>
      <c r="B462">
        <v>28.09</v>
      </c>
    </row>
    <row r="463" spans="1:3" x14ac:dyDescent="0.25">
      <c r="A463" t="s">
        <v>536</v>
      </c>
      <c r="B463">
        <v>21.06</v>
      </c>
    </row>
    <row r="464" spans="1:3" x14ac:dyDescent="0.25">
      <c r="A464" t="s">
        <v>537</v>
      </c>
      <c r="B464">
        <v>0.88</v>
      </c>
    </row>
    <row r="465" spans="1:3" x14ac:dyDescent="0.25">
      <c r="A465" t="s">
        <v>520</v>
      </c>
      <c r="B465">
        <v>3.22</v>
      </c>
    </row>
    <row r="467" spans="1:3" x14ac:dyDescent="0.25">
      <c r="A467" t="s">
        <v>513</v>
      </c>
      <c r="B467" t="s">
        <v>514</v>
      </c>
      <c r="C467" t="s">
        <v>124</v>
      </c>
    </row>
    <row r="468" spans="1:3" x14ac:dyDescent="0.25">
      <c r="A468" t="s">
        <v>516</v>
      </c>
      <c r="B468">
        <v>77.66</v>
      </c>
    </row>
    <row r="469" spans="1:3" x14ac:dyDescent="0.25">
      <c r="A469" t="s">
        <v>525</v>
      </c>
      <c r="B469">
        <v>77.39</v>
      </c>
    </row>
    <row r="470" spans="1:3" x14ac:dyDescent="0.25">
      <c r="A470" t="s">
        <v>526</v>
      </c>
      <c r="B470">
        <v>77.47</v>
      </c>
    </row>
    <row r="471" spans="1:3" x14ac:dyDescent="0.25">
      <c r="A471" t="s">
        <v>527</v>
      </c>
      <c r="B471">
        <v>76.349999999999994</v>
      </c>
    </row>
    <row r="472" spans="1:3" x14ac:dyDescent="0.25">
      <c r="A472" t="s">
        <v>528</v>
      </c>
      <c r="B472" t="s">
        <v>635</v>
      </c>
    </row>
    <row r="473" spans="1:3" x14ac:dyDescent="0.25">
      <c r="A473" t="s">
        <v>529</v>
      </c>
      <c r="B473" t="s">
        <v>636</v>
      </c>
    </row>
    <row r="474" spans="1:3" x14ac:dyDescent="0.25">
      <c r="A474" t="s">
        <v>530</v>
      </c>
      <c r="B474">
        <v>76.599999999999994</v>
      </c>
    </row>
    <row r="475" spans="1:3" x14ac:dyDescent="0.25">
      <c r="A475" t="s">
        <v>531</v>
      </c>
      <c r="B475">
        <v>100</v>
      </c>
    </row>
    <row r="476" spans="1:3" x14ac:dyDescent="0.25">
      <c r="A476" t="s">
        <v>533</v>
      </c>
      <c r="B476">
        <v>76.75</v>
      </c>
    </row>
    <row r="477" spans="1:3" x14ac:dyDescent="0.25">
      <c r="A477" t="s">
        <v>534</v>
      </c>
      <c r="B477" s="21">
        <v>3000</v>
      </c>
    </row>
    <row r="478" spans="1:3" x14ac:dyDescent="0.25">
      <c r="A478" t="s">
        <v>535</v>
      </c>
      <c r="B478">
        <v>81.37</v>
      </c>
    </row>
    <row r="479" spans="1:3" x14ac:dyDescent="0.25">
      <c r="A479" t="s">
        <v>536</v>
      </c>
      <c r="B479">
        <v>68.13</v>
      </c>
    </row>
    <row r="480" spans="1:3" x14ac:dyDescent="0.25">
      <c r="A480" t="s">
        <v>537</v>
      </c>
      <c r="B480">
        <v>1.88</v>
      </c>
    </row>
    <row r="481" spans="1:3" x14ac:dyDescent="0.25">
      <c r="A481" t="s">
        <v>520</v>
      </c>
      <c r="B481">
        <v>2.42</v>
      </c>
    </row>
    <row r="483" spans="1:3" x14ac:dyDescent="0.25">
      <c r="A483" t="s">
        <v>513</v>
      </c>
      <c r="B483" t="s">
        <v>514</v>
      </c>
      <c r="C483" t="s">
        <v>127</v>
      </c>
    </row>
    <row r="484" spans="1:3" x14ac:dyDescent="0.25">
      <c r="A484" t="s">
        <v>516</v>
      </c>
      <c r="B484">
        <v>6.34</v>
      </c>
    </row>
    <row r="485" spans="1:3" x14ac:dyDescent="0.25">
      <c r="A485" t="s">
        <v>525</v>
      </c>
      <c r="B485">
        <v>6.34</v>
      </c>
    </row>
    <row r="486" spans="1:3" x14ac:dyDescent="0.25">
      <c r="A486" t="s">
        <v>526</v>
      </c>
      <c r="B486">
        <v>6.39</v>
      </c>
    </row>
    <row r="487" spans="1:3" x14ac:dyDescent="0.25">
      <c r="A487" t="s">
        <v>527</v>
      </c>
      <c r="B487">
        <v>6.25</v>
      </c>
    </row>
    <row r="488" spans="1:3" x14ac:dyDescent="0.25">
      <c r="A488" t="s">
        <v>528</v>
      </c>
      <c r="B488" s="21">
        <v>41594</v>
      </c>
    </row>
    <row r="489" spans="1:3" x14ac:dyDescent="0.25">
      <c r="A489" t="s">
        <v>529</v>
      </c>
      <c r="B489" s="22">
        <v>56160.9</v>
      </c>
    </row>
    <row r="490" spans="1:3" x14ac:dyDescent="0.25">
      <c r="A490" t="s">
        <v>530</v>
      </c>
      <c r="B490">
        <v>6.25</v>
      </c>
    </row>
    <row r="491" spans="1:3" x14ac:dyDescent="0.25">
      <c r="A491" t="s">
        <v>531</v>
      </c>
      <c r="B491">
        <v>600</v>
      </c>
    </row>
    <row r="492" spans="1:3" x14ac:dyDescent="0.25">
      <c r="A492" t="s">
        <v>533</v>
      </c>
      <c r="B492">
        <v>6.62</v>
      </c>
    </row>
    <row r="493" spans="1:3" x14ac:dyDescent="0.25">
      <c r="A493" t="s">
        <v>534</v>
      </c>
      <c r="B493" s="21">
        <v>1500</v>
      </c>
    </row>
    <row r="494" spans="1:3" x14ac:dyDescent="0.25">
      <c r="A494" t="s">
        <v>535</v>
      </c>
      <c r="B494">
        <v>7.98</v>
      </c>
    </row>
    <row r="495" spans="1:3" x14ac:dyDescent="0.25">
      <c r="A495" t="s">
        <v>536</v>
      </c>
      <c r="B495">
        <v>0.06</v>
      </c>
    </row>
    <row r="496" spans="1:3" x14ac:dyDescent="0.25">
      <c r="A496" t="s">
        <v>537</v>
      </c>
      <c r="B496" t="s">
        <v>532</v>
      </c>
    </row>
    <row r="497" spans="1:3" x14ac:dyDescent="0.25">
      <c r="A497" t="s">
        <v>520</v>
      </c>
      <c r="B497" t="s">
        <v>532</v>
      </c>
    </row>
    <row r="499" spans="1:3" x14ac:dyDescent="0.25">
      <c r="A499" t="s">
        <v>513</v>
      </c>
      <c r="B499" t="s">
        <v>514</v>
      </c>
      <c r="C499" t="s">
        <v>129</v>
      </c>
    </row>
    <row r="500" spans="1:3" x14ac:dyDescent="0.25">
      <c r="A500" t="s">
        <v>516</v>
      </c>
      <c r="B500">
        <v>48.27</v>
      </c>
    </row>
    <row r="501" spans="1:3" x14ac:dyDescent="0.25">
      <c r="A501" t="s">
        <v>525</v>
      </c>
      <c r="B501">
        <v>48.26</v>
      </c>
    </row>
    <row r="502" spans="1:3" x14ac:dyDescent="0.25">
      <c r="A502" t="s">
        <v>526</v>
      </c>
      <c r="B502">
        <v>48.66</v>
      </c>
    </row>
    <row r="503" spans="1:3" x14ac:dyDescent="0.25">
      <c r="A503" t="s">
        <v>527</v>
      </c>
      <c r="B503">
        <v>47.95</v>
      </c>
    </row>
    <row r="504" spans="1:3" x14ac:dyDescent="0.25">
      <c r="A504" t="s">
        <v>528</v>
      </c>
      <c r="B504" t="s">
        <v>637</v>
      </c>
    </row>
    <row r="505" spans="1:3" x14ac:dyDescent="0.25">
      <c r="A505" t="s">
        <v>529</v>
      </c>
      <c r="B505" t="s">
        <v>638</v>
      </c>
    </row>
    <row r="506" spans="1:3" x14ac:dyDescent="0.25">
      <c r="A506" t="s">
        <v>530</v>
      </c>
      <c r="B506">
        <v>0</v>
      </c>
    </row>
    <row r="507" spans="1:3" x14ac:dyDescent="0.25">
      <c r="A507" t="s">
        <v>531</v>
      </c>
      <c r="B507" t="s">
        <v>532</v>
      </c>
    </row>
    <row r="508" spans="1:3" x14ac:dyDescent="0.25">
      <c r="A508" t="s">
        <v>533</v>
      </c>
      <c r="B508">
        <v>49</v>
      </c>
    </row>
    <row r="509" spans="1:3" x14ac:dyDescent="0.25">
      <c r="A509" t="s">
        <v>534</v>
      </c>
      <c r="B509">
        <v>200</v>
      </c>
    </row>
    <row r="510" spans="1:3" x14ac:dyDescent="0.25">
      <c r="A510" t="s">
        <v>535</v>
      </c>
      <c r="B510">
        <v>54.31</v>
      </c>
    </row>
    <row r="511" spans="1:3" x14ac:dyDescent="0.25">
      <c r="A511" t="s">
        <v>536</v>
      </c>
      <c r="B511">
        <v>41.5</v>
      </c>
    </row>
    <row r="512" spans="1:3" x14ac:dyDescent="0.25">
      <c r="A512" t="s">
        <v>537</v>
      </c>
      <c r="B512">
        <v>2.12</v>
      </c>
    </row>
    <row r="513" spans="1:3" x14ac:dyDescent="0.25">
      <c r="A513" t="s">
        <v>520</v>
      </c>
      <c r="B513">
        <v>4.3899999999999997</v>
      </c>
    </row>
    <row r="515" spans="1:3" x14ac:dyDescent="0.25">
      <c r="A515" t="s">
        <v>513</v>
      </c>
      <c r="B515" t="s">
        <v>514</v>
      </c>
      <c r="C515" t="s">
        <v>135</v>
      </c>
    </row>
    <row r="516" spans="1:3" x14ac:dyDescent="0.25">
      <c r="A516" t="s">
        <v>516</v>
      </c>
      <c r="B516">
        <v>32.35</v>
      </c>
    </row>
    <row r="517" spans="1:3" x14ac:dyDescent="0.25">
      <c r="A517" t="s">
        <v>525</v>
      </c>
      <c r="B517">
        <v>32.36</v>
      </c>
    </row>
    <row r="518" spans="1:3" x14ac:dyDescent="0.25">
      <c r="A518" t="s">
        <v>526</v>
      </c>
      <c r="B518">
        <v>32.49</v>
      </c>
    </row>
    <row r="519" spans="1:3" x14ac:dyDescent="0.25">
      <c r="A519" t="s">
        <v>527</v>
      </c>
      <c r="B519">
        <v>32</v>
      </c>
    </row>
    <row r="520" spans="1:3" x14ac:dyDescent="0.25">
      <c r="A520" t="s">
        <v>528</v>
      </c>
      <c r="B520" t="s">
        <v>623</v>
      </c>
    </row>
    <row r="521" spans="1:3" x14ac:dyDescent="0.25">
      <c r="A521" t="s">
        <v>529</v>
      </c>
      <c r="B521" t="s">
        <v>624</v>
      </c>
    </row>
    <row r="522" spans="1:3" x14ac:dyDescent="0.25">
      <c r="A522" t="s">
        <v>530</v>
      </c>
      <c r="B522">
        <v>32.39</v>
      </c>
    </row>
    <row r="523" spans="1:3" x14ac:dyDescent="0.25">
      <c r="A523" t="s">
        <v>531</v>
      </c>
      <c r="B523">
        <v>100</v>
      </c>
    </row>
    <row r="524" spans="1:3" x14ac:dyDescent="0.25">
      <c r="A524" t="s">
        <v>533</v>
      </c>
      <c r="B524">
        <v>32.549999999999997</v>
      </c>
    </row>
    <row r="525" spans="1:3" x14ac:dyDescent="0.25">
      <c r="A525" t="s">
        <v>534</v>
      </c>
      <c r="B525">
        <v>100</v>
      </c>
    </row>
    <row r="526" spans="1:3" x14ac:dyDescent="0.25">
      <c r="A526" t="s">
        <v>535</v>
      </c>
      <c r="B526">
        <v>32.83</v>
      </c>
    </row>
    <row r="527" spans="1:3" x14ac:dyDescent="0.25">
      <c r="A527" t="s">
        <v>536</v>
      </c>
      <c r="B527">
        <v>16.829999999999998</v>
      </c>
    </row>
    <row r="528" spans="1:3" x14ac:dyDescent="0.25">
      <c r="A528" t="s">
        <v>537</v>
      </c>
      <c r="B528">
        <v>0.92</v>
      </c>
    </row>
    <row r="529" spans="1:3" x14ac:dyDescent="0.25">
      <c r="A529" t="s">
        <v>520</v>
      </c>
      <c r="B529">
        <v>2.84</v>
      </c>
    </row>
    <row r="531" spans="1:3" x14ac:dyDescent="0.25">
      <c r="A531" t="s">
        <v>513</v>
      </c>
      <c r="B531" t="s">
        <v>514</v>
      </c>
      <c r="C531" t="s">
        <v>563</v>
      </c>
    </row>
    <row r="532" spans="1:3" x14ac:dyDescent="0.25">
      <c r="A532" t="s">
        <v>516</v>
      </c>
      <c r="B532">
        <v>2.75</v>
      </c>
    </row>
    <row r="533" spans="1:3" x14ac:dyDescent="0.25">
      <c r="A533" t="s">
        <v>525</v>
      </c>
      <c r="B533">
        <v>2.83</v>
      </c>
    </row>
    <row r="534" spans="1:3" x14ac:dyDescent="0.25">
      <c r="A534" t="s">
        <v>526</v>
      </c>
      <c r="B534">
        <v>2.83</v>
      </c>
    </row>
    <row r="535" spans="1:3" x14ac:dyDescent="0.25">
      <c r="A535" t="s">
        <v>527</v>
      </c>
      <c r="B535">
        <v>2.79</v>
      </c>
    </row>
    <row r="536" spans="1:3" x14ac:dyDescent="0.25">
      <c r="A536" t="s">
        <v>528</v>
      </c>
      <c r="B536" s="21">
        <v>16240</v>
      </c>
    </row>
    <row r="537" spans="1:3" x14ac:dyDescent="0.25">
      <c r="A537" t="s">
        <v>529</v>
      </c>
      <c r="B537" t="s">
        <v>532</v>
      </c>
    </row>
    <row r="538" spans="1:3" x14ac:dyDescent="0.25">
      <c r="A538" t="s">
        <v>530</v>
      </c>
      <c r="B538">
        <v>0</v>
      </c>
    </row>
    <row r="539" spans="1:3" x14ac:dyDescent="0.25">
      <c r="A539" t="s">
        <v>531</v>
      </c>
      <c r="B539" t="s">
        <v>532</v>
      </c>
    </row>
    <row r="540" spans="1:3" x14ac:dyDescent="0.25">
      <c r="A540" t="s">
        <v>533</v>
      </c>
      <c r="B540">
        <v>0</v>
      </c>
    </row>
    <row r="541" spans="1:3" x14ac:dyDescent="0.25">
      <c r="A541" t="s">
        <v>534</v>
      </c>
      <c r="B541" t="s">
        <v>532</v>
      </c>
    </row>
    <row r="542" spans="1:3" x14ac:dyDescent="0.25">
      <c r="A542" t="s">
        <v>535</v>
      </c>
      <c r="B542">
        <v>3.77</v>
      </c>
    </row>
    <row r="543" spans="1:3" x14ac:dyDescent="0.25">
      <c r="A543" t="s">
        <v>536</v>
      </c>
      <c r="B543">
        <v>0.72</v>
      </c>
    </row>
    <row r="544" spans="1:3" x14ac:dyDescent="0.25">
      <c r="A544" t="s">
        <v>537</v>
      </c>
      <c r="B544" t="s">
        <v>532</v>
      </c>
    </row>
    <row r="545" spans="1:3" x14ac:dyDescent="0.25">
      <c r="A545" t="s">
        <v>520</v>
      </c>
      <c r="B545" t="s">
        <v>532</v>
      </c>
    </row>
    <row r="549" spans="1:3" x14ac:dyDescent="0.25">
      <c r="A549" t="s">
        <v>513</v>
      </c>
      <c r="B549" t="s">
        <v>514</v>
      </c>
      <c r="C549" t="s">
        <v>176</v>
      </c>
    </row>
    <row r="550" spans="1:3" x14ac:dyDescent="0.25">
      <c r="A550" t="s">
        <v>516</v>
      </c>
      <c r="B550">
        <v>14.75</v>
      </c>
    </row>
    <row r="551" spans="1:3" x14ac:dyDescent="0.25">
      <c r="A551" t="s">
        <v>525</v>
      </c>
      <c r="B551">
        <v>14.79</v>
      </c>
    </row>
    <row r="552" spans="1:3" x14ac:dyDescent="0.25">
      <c r="A552" t="s">
        <v>526</v>
      </c>
      <c r="B552">
        <v>14.87</v>
      </c>
    </row>
    <row r="553" spans="1:3" x14ac:dyDescent="0.25">
      <c r="A553" t="s">
        <v>527</v>
      </c>
      <c r="B553">
        <v>14.74</v>
      </c>
    </row>
    <row r="554" spans="1:3" x14ac:dyDescent="0.25">
      <c r="A554" t="s">
        <v>528</v>
      </c>
      <c r="B554" s="21">
        <v>315679</v>
      </c>
    </row>
    <row r="555" spans="1:3" x14ac:dyDescent="0.25">
      <c r="A555" t="s">
        <v>529</v>
      </c>
      <c r="B555" s="22">
        <v>434191.84</v>
      </c>
    </row>
    <row r="556" spans="1:3" x14ac:dyDescent="0.25">
      <c r="A556" t="s">
        <v>530</v>
      </c>
      <c r="B556">
        <v>0</v>
      </c>
    </row>
    <row r="557" spans="1:3" x14ac:dyDescent="0.25">
      <c r="A557" t="s">
        <v>531</v>
      </c>
      <c r="B557" s="21" t="s">
        <v>532</v>
      </c>
    </row>
    <row r="558" spans="1:3" x14ac:dyDescent="0.25">
      <c r="A558" t="s">
        <v>533</v>
      </c>
      <c r="B558">
        <v>0</v>
      </c>
    </row>
    <row r="559" spans="1:3" x14ac:dyDescent="0.25">
      <c r="A559" t="s">
        <v>534</v>
      </c>
      <c r="B559" t="s">
        <v>532</v>
      </c>
    </row>
    <row r="560" spans="1:3" x14ac:dyDescent="0.25">
      <c r="A560" t="s">
        <v>535</v>
      </c>
      <c r="B560">
        <v>15.79</v>
      </c>
    </row>
    <row r="561" spans="1:3" x14ac:dyDescent="0.25">
      <c r="A561" t="s">
        <v>536</v>
      </c>
      <c r="B561">
        <v>12.6</v>
      </c>
    </row>
    <row r="562" spans="1:3" x14ac:dyDescent="0.25">
      <c r="A562" t="s">
        <v>537</v>
      </c>
      <c r="B562">
        <v>0.6</v>
      </c>
    </row>
    <row r="563" spans="1:3" x14ac:dyDescent="0.25">
      <c r="A563" t="s">
        <v>520</v>
      </c>
      <c r="B563">
        <v>4.05</v>
      </c>
    </row>
    <row r="565" spans="1:3" x14ac:dyDescent="0.25">
      <c r="A565" t="s">
        <v>513</v>
      </c>
      <c r="B565" t="s">
        <v>514</v>
      </c>
      <c r="C565" t="s">
        <v>457</v>
      </c>
    </row>
    <row r="566" spans="1:3" x14ac:dyDescent="0.25">
      <c r="A566" t="s">
        <v>516</v>
      </c>
      <c r="B566">
        <v>89.13</v>
      </c>
    </row>
    <row r="567" spans="1:3" x14ac:dyDescent="0.25">
      <c r="A567" t="s">
        <v>525</v>
      </c>
      <c r="B567">
        <v>88.13</v>
      </c>
    </row>
    <row r="568" spans="1:3" x14ac:dyDescent="0.25">
      <c r="A568" t="s">
        <v>526</v>
      </c>
      <c r="B568">
        <v>88.27</v>
      </c>
    </row>
    <row r="569" spans="1:3" x14ac:dyDescent="0.25">
      <c r="A569" t="s">
        <v>527</v>
      </c>
      <c r="B569">
        <v>87.93</v>
      </c>
    </row>
    <row r="570" spans="1:3" x14ac:dyDescent="0.25">
      <c r="A570" t="s">
        <v>528</v>
      </c>
      <c r="B570" s="21">
        <v>262271</v>
      </c>
    </row>
    <row r="571" spans="1:3" x14ac:dyDescent="0.25">
      <c r="A571" t="s">
        <v>530</v>
      </c>
      <c r="B571">
        <v>1</v>
      </c>
    </row>
    <row r="572" spans="1:3" x14ac:dyDescent="0.25">
      <c r="A572" t="s">
        <v>531</v>
      </c>
      <c r="B572">
        <v>100</v>
      </c>
    </row>
    <row r="573" spans="1:3" x14ac:dyDescent="0.25">
      <c r="A573" t="s">
        <v>533</v>
      </c>
      <c r="B573">
        <v>92.5</v>
      </c>
    </row>
    <row r="574" spans="1:3" x14ac:dyDescent="0.25">
      <c r="A574" t="s">
        <v>534</v>
      </c>
      <c r="B574">
        <v>300</v>
      </c>
    </row>
    <row r="575" spans="1:3" x14ac:dyDescent="0.25">
      <c r="A575" t="s">
        <v>535</v>
      </c>
      <c r="B575">
        <v>105.85</v>
      </c>
    </row>
    <row r="576" spans="1:3" x14ac:dyDescent="0.25">
      <c r="A576" t="s">
        <v>536</v>
      </c>
      <c r="B576">
        <v>87.93</v>
      </c>
    </row>
    <row r="577" spans="1:3" x14ac:dyDescent="0.25">
      <c r="A577" t="s">
        <v>554</v>
      </c>
      <c r="B577">
        <v>79.78</v>
      </c>
    </row>
    <row r="578" spans="1:3" x14ac:dyDescent="0.25">
      <c r="A578" t="s">
        <v>555</v>
      </c>
      <c r="B578">
        <v>-0.19</v>
      </c>
    </row>
    <row r="579" spans="1:3" x14ac:dyDescent="0.25">
      <c r="A579" t="s">
        <v>556</v>
      </c>
      <c r="B579">
        <v>-1.1499999999999999</v>
      </c>
    </row>
    <row r="580" spans="1:3" x14ac:dyDescent="0.25">
      <c r="A580" t="s">
        <v>557</v>
      </c>
      <c r="B580" s="2">
        <v>38889</v>
      </c>
    </row>
    <row r="581" spans="1:3" x14ac:dyDescent="0.25">
      <c r="A581" t="s">
        <v>558</v>
      </c>
      <c r="B581" t="s">
        <v>641</v>
      </c>
    </row>
    <row r="583" spans="1:3" x14ac:dyDescent="0.25">
      <c r="A583" t="s">
        <v>513</v>
      </c>
      <c r="B583" t="s">
        <v>514</v>
      </c>
      <c r="C583" t="s">
        <v>460</v>
      </c>
    </row>
    <row r="584" spans="1:3" x14ac:dyDescent="0.25">
      <c r="A584" t="s">
        <v>516</v>
      </c>
      <c r="B584">
        <v>90.83</v>
      </c>
    </row>
    <row r="585" spans="1:3" x14ac:dyDescent="0.25">
      <c r="A585" t="s">
        <v>525</v>
      </c>
      <c r="B585">
        <v>91.1</v>
      </c>
    </row>
    <row r="586" spans="1:3" x14ac:dyDescent="0.25">
      <c r="A586" t="s">
        <v>526</v>
      </c>
      <c r="B586">
        <v>91.17</v>
      </c>
    </row>
    <row r="587" spans="1:3" x14ac:dyDescent="0.25">
      <c r="A587" t="s">
        <v>527</v>
      </c>
      <c r="B587">
        <v>90.96</v>
      </c>
    </row>
    <row r="588" spans="1:3" x14ac:dyDescent="0.25">
      <c r="A588" t="s">
        <v>528</v>
      </c>
      <c r="B588" s="21">
        <v>117718</v>
      </c>
    </row>
    <row r="589" spans="1:3" x14ac:dyDescent="0.25">
      <c r="A589" t="s">
        <v>530</v>
      </c>
      <c r="B589">
        <v>89.91</v>
      </c>
    </row>
    <row r="590" spans="1:3" x14ac:dyDescent="0.25">
      <c r="A590" t="s">
        <v>531</v>
      </c>
      <c r="B590">
        <v>100</v>
      </c>
    </row>
    <row r="591" spans="1:3" x14ac:dyDescent="0.25">
      <c r="A591" t="s">
        <v>533</v>
      </c>
      <c r="B591">
        <v>92.87</v>
      </c>
    </row>
    <row r="592" spans="1:3" x14ac:dyDescent="0.25">
      <c r="A592" t="s">
        <v>534</v>
      </c>
      <c r="B592">
        <v>500</v>
      </c>
    </row>
    <row r="593" spans="1:3" x14ac:dyDescent="0.25">
      <c r="A593" t="s">
        <v>535</v>
      </c>
      <c r="B593">
        <v>101</v>
      </c>
    </row>
    <row r="594" spans="1:3" x14ac:dyDescent="0.25">
      <c r="A594" t="s">
        <v>536</v>
      </c>
      <c r="B594">
        <v>90.72</v>
      </c>
    </row>
    <row r="595" spans="1:3" x14ac:dyDescent="0.25">
      <c r="A595" t="s">
        <v>554</v>
      </c>
      <c r="B595">
        <v>56.17</v>
      </c>
    </row>
    <row r="596" spans="1:3" x14ac:dyDescent="0.25">
      <c r="A596" t="s">
        <v>555</v>
      </c>
      <c r="B596">
        <v>-2.74</v>
      </c>
    </row>
    <row r="597" spans="1:3" x14ac:dyDescent="0.25">
      <c r="A597" t="s">
        <v>556</v>
      </c>
      <c r="B597">
        <v>-2.76</v>
      </c>
    </row>
    <row r="598" spans="1:3" x14ac:dyDescent="0.25">
      <c r="A598" t="s">
        <v>557</v>
      </c>
      <c r="B598" s="2">
        <v>38889</v>
      </c>
    </row>
    <row r="599" spans="1:3" x14ac:dyDescent="0.25">
      <c r="A599" t="s">
        <v>558</v>
      </c>
      <c r="B599" t="s">
        <v>631</v>
      </c>
    </row>
    <row r="601" spans="1:3" x14ac:dyDescent="0.25">
      <c r="A601" t="s">
        <v>513</v>
      </c>
      <c r="B601" t="s">
        <v>514</v>
      </c>
      <c r="C601" t="s">
        <v>461</v>
      </c>
    </row>
    <row r="602" spans="1:3" x14ac:dyDescent="0.25">
      <c r="A602" t="s">
        <v>516</v>
      </c>
      <c r="B602">
        <v>134.44</v>
      </c>
    </row>
    <row r="603" spans="1:3" x14ac:dyDescent="0.25">
      <c r="A603" t="s">
        <v>525</v>
      </c>
      <c r="B603">
        <v>134.76</v>
      </c>
    </row>
    <row r="604" spans="1:3" x14ac:dyDescent="0.25">
      <c r="A604" t="s">
        <v>526</v>
      </c>
      <c r="B604">
        <v>134.86000000000001</v>
      </c>
    </row>
    <row r="605" spans="1:3" x14ac:dyDescent="0.25">
      <c r="A605" t="s">
        <v>527</v>
      </c>
      <c r="B605">
        <v>134.27000000000001</v>
      </c>
    </row>
    <row r="606" spans="1:3" x14ac:dyDescent="0.25">
      <c r="A606" t="s">
        <v>528</v>
      </c>
      <c r="B606" s="21">
        <v>359422</v>
      </c>
    </row>
    <row r="607" spans="1:3" x14ac:dyDescent="0.25">
      <c r="A607" t="s">
        <v>530</v>
      </c>
      <c r="B607">
        <v>127.37</v>
      </c>
    </row>
    <row r="608" spans="1:3" x14ac:dyDescent="0.25">
      <c r="A608" t="s">
        <v>531</v>
      </c>
      <c r="B608">
        <v>100</v>
      </c>
    </row>
    <row r="609" spans="1:3" x14ac:dyDescent="0.25">
      <c r="A609" t="s">
        <v>533</v>
      </c>
      <c r="B609">
        <v>141.88999999999999</v>
      </c>
    </row>
    <row r="610" spans="1:3" x14ac:dyDescent="0.25">
      <c r="A610" t="s">
        <v>534</v>
      </c>
      <c r="B610">
        <v>100</v>
      </c>
    </row>
    <row r="611" spans="1:3" x14ac:dyDescent="0.25">
      <c r="A611" t="s">
        <v>535</v>
      </c>
      <c r="B611">
        <v>136.71</v>
      </c>
    </row>
    <row r="612" spans="1:3" x14ac:dyDescent="0.25">
      <c r="A612" t="s">
        <v>536</v>
      </c>
      <c r="B612">
        <v>126.3</v>
      </c>
    </row>
    <row r="613" spans="1:3" x14ac:dyDescent="0.25">
      <c r="A613" t="s">
        <v>554</v>
      </c>
      <c r="B613">
        <v>17.579999999999998</v>
      </c>
    </row>
    <row r="614" spans="1:3" x14ac:dyDescent="0.25">
      <c r="A614" t="s">
        <v>555</v>
      </c>
      <c r="B614">
        <v>-1.31</v>
      </c>
    </row>
    <row r="615" spans="1:3" x14ac:dyDescent="0.25">
      <c r="A615" t="s">
        <v>556</v>
      </c>
      <c r="B615">
        <v>-1.01</v>
      </c>
    </row>
    <row r="616" spans="1:3" x14ac:dyDescent="0.25">
      <c r="A616" t="s">
        <v>557</v>
      </c>
      <c r="B616" s="2">
        <v>38695</v>
      </c>
    </row>
    <row r="617" spans="1:3" x14ac:dyDescent="0.25">
      <c r="A617" t="s">
        <v>558</v>
      </c>
      <c r="B617" t="s">
        <v>632</v>
      </c>
    </row>
    <row r="619" spans="1:3" x14ac:dyDescent="0.25">
      <c r="A619" t="s">
        <v>513</v>
      </c>
      <c r="B619" t="s">
        <v>514</v>
      </c>
      <c r="C619" t="s">
        <v>462</v>
      </c>
    </row>
    <row r="620" spans="1:3" x14ac:dyDescent="0.25">
      <c r="A620" t="s">
        <v>516</v>
      </c>
      <c r="B620">
        <v>107.78</v>
      </c>
    </row>
    <row r="621" spans="1:3" x14ac:dyDescent="0.25">
      <c r="A621" t="s">
        <v>525</v>
      </c>
      <c r="B621">
        <v>108.17</v>
      </c>
    </row>
    <row r="622" spans="1:3" x14ac:dyDescent="0.25">
      <c r="A622" t="s">
        <v>526</v>
      </c>
      <c r="B622">
        <v>108.41</v>
      </c>
    </row>
    <row r="623" spans="1:3" x14ac:dyDescent="0.25">
      <c r="A623" t="s">
        <v>527</v>
      </c>
      <c r="B623">
        <v>107.94</v>
      </c>
    </row>
    <row r="624" spans="1:3" x14ac:dyDescent="0.25">
      <c r="A624" t="s">
        <v>528</v>
      </c>
      <c r="B624" s="21">
        <v>25837</v>
      </c>
    </row>
    <row r="625" spans="1:3" x14ac:dyDescent="0.25">
      <c r="A625" t="s">
        <v>530</v>
      </c>
      <c r="B625">
        <v>107.97</v>
      </c>
    </row>
    <row r="626" spans="1:3" x14ac:dyDescent="0.25">
      <c r="A626" t="s">
        <v>531</v>
      </c>
      <c r="B626" s="21">
        <v>2000</v>
      </c>
    </row>
    <row r="627" spans="1:3" x14ac:dyDescent="0.25">
      <c r="A627" t="s">
        <v>533</v>
      </c>
      <c r="B627">
        <v>108.53</v>
      </c>
    </row>
    <row r="628" spans="1:3" x14ac:dyDescent="0.25">
      <c r="A628" t="s">
        <v>534</v>
      </c>
      <c r="B628" s="21">
        <v>1000</v>
      </c>
    </row>
    <row r="629" spans="1:3" x14ac:dyDescent="0.25">
      <c r="A629" t="s">
        <v>535</v>
      </c>
      <c r="B629">
        <v>110.89</v>
      </c>
    </row>
    <row r="630" spans="1:3" x14ac:dyDescent="0.25">
      <c r="A630" t="s">
        <v>536</v>
      </c>
      <c r="B630">
        <v>99.8</v>
      </c>
    </row>
    <row r="631" spans="1:3" x14ac:dyDescent="0.25">
      <c r="A631" t="s">
        <v>554</v>
      </c>
      <c r="B631">
        <v>37.54</v>
      </c>
    </row>
    <row r="632" spans="1:3" x14ac:dyDescent="0.25">
      <c r="A632" t="s">
        <v>555</v>
      </c>
      <c r="B632">
        <v>-1.9</v>
      </c>
    </row>
    <row r="633" spans="1:3" x14ac:dyDescent="0.25">
      <c r="A633" t="s">
        <v>556</v>
      </c>
      <c r="B633">
        <v>-1.45</v>
      </c>
    </row>
    <row r="634" spans="1:3" x14ac:dyDescent="0.25">
      <c r="A634" t="s">
        <v>557</v>
      </c>
      <c r="B634" s="2">
        <v>38889</v>
      </c>
    </row>
    <row r="635" spans="1:3" x14ac:dyDescent="0.25">
      <c r="A635" t="s">
        <v>558</v>
      </c>
      <c r="B635" t="s">
        <v>599</v>
      </c>
    </row>
    <row r="637" spans="1:3" x14ac:dyDescent="0.25">
      <c r="A637" t="s">
        <v>513</v>
      </c>
      <c r="B637" t="s">
        <v>514</v>
      </c>
      <c r="C637" t="s">
        <v>463</v>
      </c>
    </row>
    <row r="638" spans="1:3" x14ac:dyDescent="0.25">
      <c r="A638" t="s">
        <v>516</v>
      </c>
      <c r="B638">
        <v>93.37</v>
      </c>
    </row>
    <row r="639" spans="1:3" x14ac:dyDescent="0.25">
      <c r="A639" t="s">
        <v>525</v>
      </c>
      <c r="B639">
        <v>93.66</v>
      </c>
    </row>
    <row r="640" spans="1:3" x14ac:dyDescent="0.25">
      <c r="A640" t="s">
        <v>526</v>
      </c>
      <c r="B640">
        <v>93.78</v>
      </c>
    </row>
    <row r="641" spans="1:3" x14ac:dyDescent="0.25">
      <c r="A641" t="s">
        <v>527</v>
      </c>
      <c r="B641">
        <v>93.51</v>
      </c>
    </row>
    <row r="642" spans="1:3" x14ac:dyDescent="0.25">
      <c r="A642" t="s">
        <v>528</v>
      </c>
      <c r="B642" s="21">
        <v>178142</v>
      </c>
    </row>
    <row r="643" spans="1:3" x14ac:dyDescent="0.25">
      <c r="A643" t="s">
        <v>530</v>
      </c>
      <c r="B643">
        <v>93.61</v>
      </c>
    </row>
    <row r="644" spans="1:3" x14ac:dyDescent="0.25">
      <c r="A644" t="s">
        <v>531</v>
      </c>
      <c r="B644" s="21">
        <v>2000</v>
      </c>
    </row>
    <row r="645" spans="1:3" x14ac:dyDescent="0.25">
      <c r="A645" t="s">
        <v>533</v>
      </c>
      <c r="B645">
        <v>93.69</v>
      </c>
    </row>
    <row r="646" spans="1:3" x14ac:dyDescent="0.25">
      <c r="A646" t="s">
        <v>534</v>
      </c>
      <c r="B646" s="21">
        <v>2000</v>
      </c>
    </row>
    <row r="647" spans="1:3" x14ac:dyDescent="0.25">
      <c r="A647" t="s">
        <v>535</v>
      </c>
      <c r="B647">
        <v>111.21</v>
      </c>
    </row>
    <row r="648" spans="1:3" x14ac:dyDescent="0.25">
      <c r="A648" t="s">
        <v>536</v>
      </c>
      <c r="B648">
        <v>92.75</v>
      </c>
    </row>
    <row r="649" spans="1:3" x14ac:dyDescent="0.25">
      <c r="A649" t="s">
        <v>554</v>
      </c>
      <c r="B649">
        <v>7.39</v>
      </c>
    </row>
    <row r="650" spans="1:3" x14ac:dyDescent="0.25">
      <c r="A650" t="s">
        <v>555</v>
      </c>
      <c r="B650">
        <v>0.81</v>
      </c>
    </row>
    <row r="651" spans="1:3" x14ac:dyDescent="0.25">
      <c r="A651" t="s">
        <v>556</v>
      </c>
      <c r="B651">
        <v>0.96</v>
      </c>
    </row>
    <row r="652" spans="1:3" x14ac:dyDescent="0.25">
      <c r="A652" t="s">
        <v>557</v>
      </c>
      <c r="B652" s="2">
        <v>39125</v>
      </c>
    </row>
    <row r="653" spans="1:3" x14ac:dyDescent="0.25">
      <c r="A653" t="s">
        <v>558</v>
      </c>
      <c r="B653" t="s">
        <v>600</v>
      </c>
    </row>
    <row r="655" spans="1:3" x14ac:dyDescent="0.25">
      <c r="A655" t="s">
        <v>513</v>
      </c>
      <c r="B655" t="s">
        <v>514</v>
      </c>
      <c r="C655" t="s">
        <v>559</v>
      </c>
    </row>
    <row r="656" spans="1:3" x14ac:dyDescent="0.25">
      <c r="A656" t="s">
        <v>516</v>
      </c>
      <c r="B656">
        <v>80.53</v>
      </c>
    </row>
    <row r="657" spans="1:3" x14ac:dyDescent="0.25">
      <c r="A657" t="s">
        <v>525</v>
      </c>
      <c r="B657">
        <v>81.44</v>
      </c>
    </row>
    <row r="658" spans="1:3" x14ac:dyDescent="0.25">
      <c r="A658" t="s">
        <v>526</v>
      </c>
      <c r="B658">
        <v>81.900000000000006</v>
      </c>
    </row>
    <row r="659" spans="1:3" x14ac:dyDescent="0.25">
      <c r="A659" t="s">
        <v>527</v>
      </c>
      <c r="B659">
        <v>81.05</v>
      </c>
    </row>
    <row r="660" spans="1:3" x14ac:dyDescent="0.25">
      <c r="A660" t="s">
        <v>528</v>
      </c>
      <c r="B660" s="21" t="s">
        <v>593</v>
      </c>
    </row>
    <row r="661" spans="1:3" x14ac:dyDescent="0.25">
      <c r="A661" t="s">
        <v>529</v>
      </c>
      <c r="B661" t="s">
        <v>594</v>
      </c>
    </row>
    <row r="662" spans="1:3" x14ac:dyDescent="0.25">
      <c r="A662" t="s">
        <v>530</v>
      </c>
      <c r="B662">
        <v>81.02</v>
      </c>
    </row>
    <row r="663" spans="1:3" x14ac:dyDescent="0.25">
      <c r="A663" t="s">
        <v>531</v>
      </c>
      <c r="B663">
        <v>300</v>
      </c>
    </row>
    <row r="664" spans="1:3" x14ac:dyDescent="0.25">
      <c r="A664" t="s">
        <v>533</v>
      </c>
      <c r="B664">
        <v>81.53</v>
      </c>
    </row>
    <row r="665" spans="1:3" x14ac:dyDescent="0.25">
      <c r="A665" t="s">
        <v>534</v>
      </c>
      <c r="B665">
        <v>600</v>
      </c>
    </row>
    <row r="666" spans="1:3" x14ac:dyDescent="0.25">
      <c r="A666" t="s">
        <v>535</v>
      </c>
      <c r="B666">
        <v>92.99</v>
      </c>
    </row>
    <row r="667" spans="1:3" x14ac:dyDescent="0.25">
      <c r="A667" t="s">
        <v>536</v>
      </c>
      <c r="B667">
        <v>77.13</v>
      </c>
    </row>
    <row r="668" spans="1:3" x14ac:dyDescent="0.25">
      <c r="A668" t="s">
        <v>537</v>
      </c>
      <c r="B668">
        <v>5.44</v>
      </c>
    </row>
    <row r="669" spans="1:3" x14ac:dyDescent="0.25">
      <c r="A669" t="s">
        <v>520</v>
      </c>
      <c r="B669">
        <v>6.71</v>
      </c>
    </row>
    <row r="671" spans="1:3" x14ac:dyDescent="0.25">
      <c r="A671" t="s">
        <v>513</v>
      </c>
      <c r="B671" t="s">
        <v>514</v>
      </c>
      <c r="C671" t="s">
        <v>178</v>
      </c>
    </row>
    <row r="672" spans="1:3" x14ac:dyDescent="0.25">
      <c r="A672" t="s">
        <v>516</v>
      </c>
      <c r="B672">
        <v>19.399999999999999</v>
      </c>
    </row>
    <row r="673" spans="1:2" x14ac:dyDescent="0.25">
      <c r="A673" t="s">
        <v>525</v>
      </c>
      <c r="B673">
        <v>19.399999999999999</v>
      </c>
    </row>
    <row r="674" spans="1:2" x14ac:dyDescent="0.25">
      <c r="A674" t="s">
        <v>526</v>
      </c>
      <c r="B674">
        <v>19.440000000000001</v>
      </c>
    </row>
    <row r="675" spans="1:2" x14ac:dyDescent="0.25">
      <c r="A675" t="s">
        <v>527</v>
      </c>
      <c r="B675">
        <v>19.29</v>
      </c>
    </row>
    <row r="676" spans="1:2" x14ac:dyDescent="0.25">
      <c r="A676" t="s">
        <v>528</v>
      </c>
      <c r="B676" t="s">
        <v>626</v>
      </c>
    </row>
    <row r="677" spans="1:2" x14ac:dyDescent="0.25">
      <c r="A677" t="s">
        <v>530</v>
      </c>
      <c r="B677">
        <v>19.32</v>
      </c>
    </row>
    <row r="678" spans="1:2" x14ac:dyDescent="0.25">
      <c r="A678" t="s">
        <v>531</v>
      </c>
      <c r="B678">
        <v>300</v>
      </c>
    </row>
    <row r="679" spans="1:2" x14ac:dyDescent="0.25">
      <c r="A679" t="s">
        <v>533</v>
      </c>
      <c r="B679">
        <v>19.39</v>
      </c>
    </row>
    <row r="680" spans="1:2" x14ac:dyDescent="0.25">
      <c r="A680" t="s">
        <v>534</v>
      </c>
      <c r="B680" s="21">
        <v>300</v>
      </c>
    </row>
    <row r="681" spans="1:2" x14ac:dyDescent="0.25">
      <c r="A681" t="s">
        <v>535</v>
      </c>
      <c r="B681">
        <v>31.41</v>
      </c>
    </row>
    <row r="682" spans="1:2" x14ac:dyDescent="0.25">
      <c r="A682" t="s">
        <v>536</v>
      </c>
      <c r="B682">
        <v>17.75</v>
      </c>
    </row>
    <row r="683" spans="1:2" x14ac:dyDescent="0.25">
      <c r="A683" t="s">
        <v>554</v>
      </c>
      <c r="B683">
        <v>2.1</v>
      </c>
    </row>
    <row r="684" spans="1:2" x14ac:dyDescent="0.25">
      <c r="A684" t="s">
        <v>555</v>
      </c>
      <c r="B684">
        <v>2.56</v>
      </c>
    </row>
    <row r="685" spans="1:2" x14ac:dyDescent="0.25">
      <c r="A685" t="s">
        <v>556</v>
      </c>
      <c r="B685" t="s">
        <v>532</v>
      </c>
    </row>
    <row r="686" spans="1:2" x14ac:dyDescent="0.25">
      <c r="A686" t="s">
        <v>557</v>
      </c>
      <c r="B686" s="2">
        <v>38828</v>
      </c>
    </row>
    <row r="687" spans="1:2" x14ac:dyDescent="0.25">
      <c r="A687" t="s">
        <v>558</v>
      </c>
      <c r="B687" t="s">
        <v>532</v>
      </c>
    </row>
    <row r="689" spans="1:3" x14ac:dyDescent="0.25">
      <c r="A689" t="s">
        <v>513</v>
      </c>
      <c r="B689" t="s">
        <v>514</v>
      </c>
      <c r="C689" t="s">
        <v>170</v>
      </c>
    </row>
    <row r="690" spans="1:3" x14ac:dyDescent="0.25">
      <c r="A690" t="s">
        <v>516</v>
      </c>
      <c r="B690">
        <v>119.66</v>
      </c>
    </row>
    <row r="691" spans="1:3" x14ac:dyDescent="0.25">
      <c r="A691" t="s">
        <v>525</v>
      </c>
      <c r="B691">
        <v>119.84</v>
      </c>
    </row>
    <row r="692" spans="1:3" x14ac:dyDescent="0.25">
      <c r="A692" t="s">
        <v>526</v>
      </c>
      <c r="B692">
        <v>119.96</v>
      </c>
    </row>
    <row r="693" spans="1:3" x14ac:dyDescent="0.25">
      <c r="A693" t="s">
        <v>527</v>
      </c>
      <c r="B693">
        <v>119.57</v>
      </c>
    </row>
    <row r="694" spans="1:3" x14ac:dyDescent="0.25">
      <c r="A694" t="s">
        <v>528</v>
      </c>
      <c r="B694" t="s">
        <v>540</v>
      </c>
    </row>
    <row r="695" spans="1:3" x14ac:dyDescent="0.25">
      <c r="A695" t="s">
        <v>530</v>
      </c>
      <c r="B695">
        <v>119.11</v>
      </c>
    </row>
    <row r="696" spans="1:3" x14ac:dyDescent="0.25">
      <c r="A696" t="s">
        <v>531</v>
      </c>
      <c r="B696" s="21">
        <v>1000</v>
      </c>
    </row>
    <row r="697" spans="1:3" x14ac:dyDescent="0.25">
      <c r="A697" t="s">
        <v>533</v>
      </c>
      <c r="B697">
        <v>0</v>
      </c>
    </row>
    <row r="698" spans="1:3" x14ac:dyDescent="0.25">
      <c r="A698" t="s">
        <v>534</v>
      </c>
      <c r="B698" t="s">
        <v>532</v>
      </c>
    </row>
    <row r="699" spans="1:3" x14ac:dyDescent="0.25">
      <c r="A699" t="s">
        <v>535</v>
      </c>
      <c r="B699">
        <v>164.4</v>
      </c>
    </row>
    <row r="700" spans="1:3" x14ac:dyDescent="0.25">
      <c r="A700" t="s">
        <v>536</v>
      </c>
      <c r="B700">
        <v>114.46</v>
      </c>
    </row>
    <row r="701" spans="1:3" x14ac:dyDescent="0.25">
      <c r="A701" t="s">
        <v>554</v>
      </c>
      <c r="B701">
        <v>0.88</v>
      </c>
    </row>
    <row r="702" spans="1:3" x14ac:dyDescent="0.25">
      <c r="A702" t="s">
        <v>555</v>
      </c>
      <c r="B702">
        <v>2.86</v>
      </c>
    </row>
    <row r="703" spans="1:3" x14ac:dyDescent="0.25">
      <c r="A703" t="s">
        <v>556</v>
      </c>
      <c r="B703">
        <v>3.16</v>
      </c>
    </row>
    <row r="704" spans="1:3" x14ac:dyDescent="0.25">
      <c r="A704" t="s">
        <v>557</v>
      </c>
      <c r="B704" s="2">
        <v>38309</v>
      </c>
    </row>
    <row r="705" spans="1:3" x14ac:dyDescent="0.25">
      <c r="A705" t="s">
        <v>558</v>
      </c>
      <c r="B705" t="s">
        <v>589</v>
      </c>
    </row>
    <row r="707" spans="1:3" x14ac:dyDescent="0.25">
      <c r="A707" t="s">
        <v>513</v>
      </c>
      <c r="B707" t="s">
        <v>514</v>
      </c>
      <c r="C707" t="s">
        <v>147</v>
      </c>
    </row>
    <row r="708" spans="1:3" x14ac:dyDescent="0.25">
      <c r="A708" t="s">
        <v>516</v>
      </c>
      <c r="B708">
        <v>8.99</v>
      </c>
    </row>
    <row r="709" spans="1:3" x14ac:dyDescent="0.25">
      <c r="A709" t="s">
        <v>525</v>
      </c>
      <c r="B709">
        <v>8.94</v>
      </c>
    </row>
    <row r="710" spans="1:3" x14ac:dyDescent="0.25">
      <c r="A710" t="s">
        <v>526</v>
      </c>
      <c r="B710">
        <v>9.0299999999999994</v>
      </c>
    </row>
    <row r="711" spans="1:3" x14ac:dyDescent="0.25">
      <c r="A711" t="s">
        <v>527</v>
      </c>
      <c r="B711">
        <v>8.92</v>
      </c>
    </row>
    <row r="712" spans="1:3" x14ac:dyDescent="0.25">
      <c r="A712" t="s">
        <v>528</v>
      </c>
      <c r="B712" s="21">
        <v>104442</v>
      </c>
    </row>
    <row r="713" spans="1:3" x14ac:dyDescent="0.25">
      <c r="A713" t="s">
        <v>529</v>
      </c>
      <c r="B713" s="22">
        <v>315353</v>
      </c>
    </row>
    <row r="714" spans="1:3" x14ac:dyDescent="0.25">
      <c r="A714" t="s">
        <v>530</v>
      </c>
      <c r="B714">
        <v>0</v>
      </c>
    </row>
    <row r="715" spans="1:3" x14ac:dyDescent="0.25">
      <c r="A715" t="s">
        <v>531</v>
      </c>
      <c r="B715" t="s">
        <v>532</v>
      </c>
    </row>
    <row r="716" spans="1:3" x14ac:dyDescent="0.25">
      <c r="A716" t="s">
        <v>533</v>
      </c>
      <c r="B716">
        <v>0</v>
      </c>
    </row>
    <row r="717" spans="1:3" x14ac:dyDescent="0.25">
      <c r="A717" t="s">
        <v>534</v>
      </c>
      <c r="B717" t="s">
        <v>532</v>
      </c>
    </row>
    <row r="718" spans="1:3" x14ac:dyDescent="0.25">
      <c r="A718" t="s">
        <v>535</v>
      </c>
      <c r="B718">
        <v>10.07</v>
      </c>
    </row>
    <row r="719" spans="1:3" x14ac:dyDescent="0.25">
      <c r="A719" t="s">
        <v>536</v>
      </c>
      <c r="B719">
        <v>6.28</v>
      </c>
    </row>
    <row r="720" spans="1:3" x14ac:dyDescent="0.25">
      <c r="A720" t="s">
        <v>537</v>
      </c>
      <c r="B720" t="s">
        <v>532</v>
      </c>
    </row>
    <row r="721" spans="1:3" x14ac:dyDescent="0.25">
      <c r="A721" t="s">
        <v>520</v>
      </c>
      <c r="B721">
        <v>1.25</v>
      </c>
    </row>
    <row r="723" spans="1:3" x14ac:dyDescent="0.25">
      <c r="A723" t="s">
        <v>513</v>
      </c>
      <c r="B723" t="s">
        <v>514</v>
      </c>
      <c r="C723" t="s">
        <v>114</v>
      </c>
    </row>
    <row r="724" spans="1:3" x14ac:dyDescent="0.25">
      <c r="A724" t="s">
        <v>516</v>
      </c>
      <c r="B724">
        <v>88.25</v>
      </c>
    </row>
    <row r="725" spans="1:3" x14ac:dyDescent="0.25">
      <c r="A725" t="s">
        <v>525</v>
      </c>
      <c r="B725">
        <v>88</v>
      </c>
    </row>
    <row r="726" spans="1:3" x14ac:dyDescent="0.25">
      <c r="A726" t="s">
        <v>526</v>
      </c>
      <c r="B726">
        <v>88.24</v>
      </c>
    </row>
    <row r="727" spans="1:3" x14ac:dyDescent="0.25">
      <c r="A727" t="s">
        <v>527</v>
      </c>
      <c r="B727">
        <v>87.26</v>
      </c>
    </row>
    <row r="728" spans="1:3" x14ac:dyDescent="0.25">
      <c r="A728" t="s">
        <v>528</v>
      </c>
      <c r="B728" t="s">
        <v>611</v>
      </c>
    </row>
    <row r="729" spans="1:3" x14ac:dyDescent="0.25">
      <c r="A729" t="s">
        <v>529</v>
      </c>
      <c r="B729" t="s">
        <v>612</v>
      </c>
    </row>
    <row r="730" spans="1:3" x14ac:dyDescent="0.25">
      <c r="A730" t="s">
        <v>530</v>
      </c>
      <c r="B730">
        <v>87.3</v>
      </c>
    </row>
    <row r="731" spans="1:3" x14ac:dyDescent="0.25">
      <c r="A731" t="s">
        <v>531</v>
      </c>
      <c r="B731">
        <v>300</v>
      </c>
    </row>
    <row r="732" spans="1:3" x14ac:dyDescent="0.25">
      <c r="A732" t="s">
        <v>533</v>
      </c>
      <c r="B732">
        <v>87.4</v>
      </c>
    </row>
    <row r="733" spans="1:3" x14ac:dyDescent="0.25">
      <c r="A733" t="s">
        <v>534</v>
      </c>
      <c r="B733" s="21">
        <v>2500</v>
      </c>
    </row>
    <row r="734" spans="1:3" x14ac:dyDescent="0.25">
      <c r="A734" t="s">
        <v>535</v>
      </c>
      <c r="B734">
        <v>91.08</v>
      </c>
    </row>
    <row r="735" spans="1:3" x14ac:dyDescent="0.25">
      <c r="A735" t="s">
        <v>536</v>
      </c>
      <c r="B735">
        <v>58.7</v>
      </c>
    </row>
    <row r="736" spans="1:3" x14ac:dyDescent="0.25">
      <c r="A736" t="s">
        <v>537</v>
      </c>
      <c r="B736">
        <v>0.92</v>
      </c>
    </row>
    <row r="737" spans="1:3" x14ac:dyDescent="0.25">
      <c r="A737" t="s">
        <v>520</v>
      </c>
      <c r="B737">
        <v>1.04</v>
      </c>
    </row>
    <row r="739" spans="1:3" x14ac:dyDescent="0.25">
      <c r="A739" t="s">
        <v>513</v>
      </c>
      <c r="B739" t="s">
        <v>514</v>
      </c>
      <c r="C739" t="s">
        <v>148</v>
      </c>
    </row>
    <row r="740" spans="1:3" x14ac:dyDescent="0.25">
      <c r="A740" t="s">
        <v>516</v>
      </c>
      <c r="B740">
        <v>46.4</v>
      </c>
    </row>
    <row r="741" spans="1:3" x14ac:dyDescent="0.25">
      <c r="A741" t="s">
        <v>525</v>
      </c>
      <c r="B741">
        <v>46.3</v>
      </c>
    </row>
    <row r="742" spans="1:3" x14ac:dyDescent="0.25">
      <c r="A742" t="s">
        <v>526</v>
      </c>
      <c r="B742">
        <v>46.46</v>
      </c>
    </row>
    <row r="743" spans="1:3" x14ac:dyDescent="0.25">
      <c r="A743" t="s">
        <v>527</v>
      </c>
      <c r="B743">
        <v>46.07</v>
      </c>
    </row>
    <row r="744" spans="1:3" x14ac:dyDescent="0.25">
      <c r="A744" t="s">
        <v>528</v>
      </c>
      <c r="B744" t="s">
        <v>602</v>
      </c>
    </row>
    <row r="745" spans="1:3" x14ac:dyDescent="0.25">
      <c r="A745" t="s">
        <v>529</v>
      </c>
      <c r="B745" t="s">
        <v>603</v>
      </c>
    </row>
    <row r="746" spans="1:3" x14ac:dyDescent="0.25">
      <c r="A746" t="s">
        <v>530</v>
      </c>
      <c r="B746">
        <v>0</v>
      </c>
    </row>
    <row r="747" spans="1:3" x14ac:dyDescent="0.25">
      <c r="A747" t="s">
        <v>531</v>
      </c>
      <c r="B747" t="s">
        <v>532</v>
      </c>
    </row>
    <row r="748" spans="1:3" x14ac:dyDescent="0.25">
      <c r="A748" t="s">
        <v>533</v>
      </c>
      <c r="B748">
        <v>46.75</v>
      </c>
    </row>
    <row r="749" spans="1:3" x14ac:dyDescent="0.25">
      <c r="A749" t="s">
        <v>534</v>
      </c>
      <c r="B749">
        <v>100</v>
      </c>
    </row>
    <row r="750" spans="1:3" x14ac:dyDescent="0.25">
      <c r="A750" t="s">
        <v>535</v>
      </c>
      <c r="B750">
        <v>46.74</v>
      </c>
    </row>
    <row r="751" spans="1:3" x14ac:dyDescent="0.25">
      <c r="A751" t="s">
        <v>536</v>
      </c>
      <c r="B751">
        <v>34.5</v>
      </c>
    </row>
    <row r="752" spans="1:3" x14ac:dyDescent="0.25">
      <c r="A752" t="s">
        <v>537</v>
      </c>
      <c r="B752">
        <v>1.2</v>
      </c>
    </row>
    <row r="753" spans="1:3" x14ac:dyDescent="0.25">
      <c r="A753" t="s">
        <v>520</v>
      </c>
      <c r="B753">
        <v>2.59</v>
      </c>
    </row>
    <row r="755" spans="1:3" x14ac:dyDescent="0.25">
      <c r="A755" t="s">
        <v>513</v>
      </c>
      <c r="B755" t="s">
        <v>514</v>
      </c>
      <c r="C755" t="s">
        <v>157</v>
      </c>
    </row>
    <row r="756" spans="1:3" x14ac:dyDescent="0.25">
      <c r="A756" t="s">
        <v>516</v>
      </c>
      <c r="B756">
        <v>0.05</v>
      </c>
    </row>
    <row r="757" spans="1:3" x14ac:dyDescent="0.25">
      <c r="A757" t="s">
        <v>525</v>
      </c>
      <c r="B757">
        <v>0.05</v>
      </c>
    </row>
    <row r="758" spans="1:3" x14ac:dyDescent="0.25">
      <c r="A758" t="s">
        <v>526</v>
      </c>
      <c r="B758">
        <v>0.05</v>
      </c>
    </row>
    <row r="759" spans="1:3" x14ac:dyDescent="0.25">
      <c r="A759" t="s">
        <v>527</v>
      </c>
      <c r="B759">
        <v>0.05</v>
      </c>
    </row>
    <row r="760" spans="1:3" x14ac:dyDescent="0.25">
      <c r="A760" t="s">
        <v>528</v>
      </c>
      <c r="B760" s="21">
        <v>5242</v>
      </c>
    </row>
    <row r="761" spans="1:3" x14ac:dyDescent="0.25">
      <c r="A761" t="s">
        <v>529</v>
      </c>
      <c r="B761" s="22">
        <v>28113.919999999998</v>
      </c>
    </row>
    <row r="762" spans="1:3" x14ac:dyDescent="0.25">
      <c r="A762" t="s">
        <v>530</v>
      </c>
      <c r="B762">
        <v>0</v>
      </c>
    </row>
    <row r="763" spans="1:3" x14ac:dyDescent="0.25">
      <c r="A763" t="s">
        <v>531</v>
      </c>
      <c r="B763" s="21" t="s">
        <v>532</v>
      </c>
    </row>
    <row r="764" spans="1:3" x14ac:dyDescent="0.25">
      <c r="A764" t="s">
        <v>533</v>
      </c>
      <c r="B764">
        <v>0</v>
      </c>
    </row>
    <row r="765" spans="1:3" x14ac:dyDescent="0.25">
      <c r="A765" t="s">
        <v>534</v>
      </c>
      <c r="B765" s="21" t="s">
        <v>532</v>
      </c>
    </row>
    <row r="766" spans="1:3" x14ac:dyDescent="0.25">
      <c r="A766" t="s">
        <v>535</v>
      </c>
      <c r="B766">
        <v>7.0000000000000007E-2</v>
      </c>
    </row>
    <row r="767" spans="1:3" x14ac:dyDescent="0.25">
      <c r="A767" t="s">
        <v>536</v>
      </c>
      <c r="B767">
        <v>0.02</v>
      </c>
    </row>
    <row r="768" spans="1:3" x14ac:dyDescent="0.25">
      <c r="A768" t="s">
        <v>537</v>
      </c>
      <c r="B768" t="s">
        <v>532</v>
      </c>
    </row>
    <row r="769" spans="1:3" x14ac:dyDescent="0.25">
      <c r="A769" t="s">
        <v>520</v>
      </c>
      <c r="B769" t="s">
        <v>532</v>
      </c>
    </row>
    <row r="771" spans="1:3" x14ac:dyDescent="0.25">
      <c r="A771" t="s">
        <v>513</v>
      </c>
      <c r="B771" t="s">
        <v>514</v>
      </c>
      <c r="C771" t="s">
        <v>163</v>
      </c>
    </row>
    <row r="772" spans="1:3" x14ac:dyDescent="0.25">
      <c r="A772" t="s">
        <v>516</v>
      </c>
      <c r="B772">
        <v>11.96</v>
      </c>
    </row>
    <row r="773" spans="1:3" x14ac:dyDescent="0.25">
      <c r="A773" t="s">
        <v>525</v>
      </c>
      <c r="B773">
        <v>12.02</v>
      </c>
    </row>
    <row r="774" spans="1:3" x14ac:dyDescent="0.25">
      <c r="A774" t="s">
        <v>526</v>
      </c>
      <c r="B774">
        <v>12.07</v>
      </c>
    </row>
    <row r="775" spans="1:3" x14ac:dyDescent="0.25">
      <c r="A775" t="s">
        <v>527</v>
      </c>
      <c r="B775">
        <v>11.75</v>
      </c>
    </row>
    <row r="776" spans="1:3" x14ac:dyDescent="0.25">
      <c r="A776" t="s">
        <v>528</v>
      </c>
      <c r="B776" s="21">
        <v>442917</v>
      </c>
    </row>
    <row r="777" spans="1:3" x14ac:dyDescent="0.25">
      <c r="A777" t="s">
        <v>529</v>
      </c>
      <c r="B777" s="22">
        <v>657584.80000000005</v>
      </c>
    </row>
    <row r="778" spans="1:3" x14ac:dyDescent="0.25">
      <c r="A778" t="s">
        <v>530</v>
      </c>
      <c r="B778">
        <v>0</v>
      </c>
    </row>
    <row r="779" spans="1:3" x14ac:dyDescent="0.25">
      <c r="A779" t="s">
        <v>531</v>
      </c>
      <c r="B779" t="s">
        <v>532</v>
      </c>
    </row>
    <row r="780" spans="1:3" x14ac:dyDescent="0.25">
      <c r="A780" t="s">
        <v>533</v>
      </c>
      <c r="B780">
        <v>0</v>
      </c>
    </row>
    <row r="781" spans="1:3" x14ac:dyDescent="0.25">
      <c r="A781" t="s">
        <v>534</v>
      </c>
      <c r="B781" t="s">
        <v>532</v>
      </c>
    </row>
    <row r="782" spans="1:3" x14ac:dyDescent="0.25">
      <c r="A782" t="s">
        <v>535</v>
      </c>
      <c r="B782">
        <v>12.15</v>
      </c>
    </row>
    <row r="783" spans="1:3" x14ac:dyDescent="0.25">
      <c r="A783" t="s">
        <v>536</v>
      </c>
      <c r="B783">
        <v>4.99</v>
      </c>
    </row>
    <row r="784" spans="1:3" x14ac:dyDescent="0.25">
      <c r="A784" t="s">
        <v>537</v>
      </c>
      <c r="B784" t="s">
        <v>532</v>
      </c>
    </row>
    <row r="785" spans="1:3" x14ac:dyDescent="0.25">
      <c r="A785" t="s">
        <v>520</v>
      </c>
      <c r="B785" t="s">
        <v>532</v>
      </c>
    </row>
    <row r="787" spans="1:3" x14ac:dyDescent="0.25">
      <c r="A787" t="s">
        <v>513</v>
      </c>
      <c r="B787" t="s">
        <v>514</v>
      </c>
      <c r="C787" t="s">
        <v>560</v>
      </c>
    </row>
    <row r="788" spans="1:3" x14ac:dyDescent="0.25">
      <c r="A788" t="s">
        <v>516</v>
      </c>
      <c r="B788">
        <v>2.2000000000000002</v>
      </c>
    </row>
    <row r="789" spans="1:3" x14ac:dyDescent="0.25">
      <c r="A789" t="s">
        <v>525</v>
      </c>
      <c r="B789">
        <v>2.21</v>
      </c>
    </row>
    <row r="790" spans="1:3" x14ac:dyDescent="0.25">
      <c r="A790" t="s">
        <v>526</v>
      </c>
      <c r="B790">
        <v>2.35</v>
      </c>
    </row>
    <row r="791" spans="1:3" x14ac:dyDescent="0.25">
      <c r="A791" t="s">
        <v>527</v>
      </c>
      <c r="B791">
        <v>2.17</v>
      </c>
    </row>
    <row r="792" spans="1:3" x14ac:dyDescent="0.25">
      <c r="A792" t="s">
        <v>528</v>
      </c>
      <c r="B792" s="21">
        <v>110980</v>
      </c>
    </row>
    <row r="793" spans="1:3" x14ac:dyDescent="0.25">
      <c r="A793" t="s">
        <v>529</v>
      </c>
      <c r="B793" s="22">
        <v>84463.77</v>
      </c>
    </row>
    <row r="794" spans="1:3" x14ac:dyDescent="0.25">
      <c r="A794" t="s">
        <v>530</v>
      </c>
      <c r="B794">
        <v>1.85</v>
      </c>
    </row>
    <row r="795" spans="1:3" x14ac:dyDescent="0.25">
      <c r="A795" t="s">
        <v>531</v>
      </c>
      <c r="B795" s="21">
        <v>1000</v>
      </c>
    </row>
    <row r="796" spans="1:3" x14ac:dyDescent="0.25">
      <c r="A796" t="s">
        <v>533</v>
      </c>
      <c r="B796">
        <v>2.71</v>
      </c>
    </row>
    <row r="797" spans="1:3" x14ac:dyDescent="0.25">
      <c r="A797" t="s">
        <v>534</v>
      </c>
      <c r="B797" s="21">
        <v>1100</v>
      </c>
    </row>
    <row r="798" spans="1:3" x14ac:dyDescent="0.25">
      <c r="A798" t="s">
        <v>535</v>
      </c>
      <c r="B798">
        <v>2.35</v>
      </c>
    </row>
    <row r="799" spans="1:3" x14ac:dyDescent="0.25">
      <c r="A799" t="s">
        <v>536</v>
      </c>
      <c r="B799">
        <v>1.27</v>
      </c>
    </row>
    <row r="800" spans="1:3" x14ac:dyDescent="0.25">
      <c r="A800" t="s">
        <v>537</v>
      </c>
      <c r="B800" t="s">
        <v>532</v>
      </c>
    </row>
    <row r="801" spans="1:3" x14ac:dyDescent="0.25">
      <c r="A801" t="s">
        <v>520</v>
      </c>
      <c r="B801" t="s">
        <v>532</v>
      </c>
    </row>
    <row r="803" spans="1:3" x14ac:dyDescent="0.25">
      <c r="A803" t="s">
        <v>513</v>
      </c>
      <c r="B803" t="s">
        <v>514</v>
      </c>
      <c r="C803" t="s">
        <v>171</v>
      </c>
    </row>
    <row r="804" spans="1:3" x14ac:dyDescent="0.25">
      <c r="A804" t="s">
        <v>516</v>
      </c>
      <c r="B804">
        <v>0.88</v>
      </c>
    </row>
    <row r="805" spans="1:3" x14ac:dyDescent="0.25">
      <c r="A805" t="s">
        <v>525</v>
      </c>
      <c r="B805">
        <v>0.92</v>
      </c>
    </row>
    <row r="806" spans="1:3" x14ac:dyDescent="0.25">
      <c r="A806" t="s">
        <v>526</v>
      </c>
      <c r="B806">
        <v>0.92</v>
      </c>
    </row>
    <row r="807" spans="1:3" x14ac:dyDescent="0.25">
      <c r="A807" t="s">
        <v>527</v>
      </c>
      <c r="B807">
        <v>0.85</v>
      </c>
    </row>
    <row r="808" spans="1:3" x14ac:dyDescent="0.25">
      <c r="A808" t="s">
        <v>528</v>
      </c>
      <c r="B808" s="21">
        <v>455929</v>
      </c>
    </row>
    <row r="809" spans="1:3" x14ac:dyDescent="0.25">
      <c r="A809" t="s">
        <v>529</v>
      </c>
      <c r="B809" s="22">
        <v>169522.31</v>
      </c>
    </row>
    <row r="810" spans="1:3" x14ac:dyDescent="0.25">
      <c r="A810" t="s">
        <v>530</v>
      </c>
      <c r="B810">
        <v>0.88</v>
      </c>
    </row>
    <row r="811" spans="1:3" x14ac:dyDescent="0.25">
      <c r="A811" t="s">
        <v>531</v>
      </c>
      <c r="B811">
        <v>300</v>
      </c>
    </row>
    <row r="812" spans="1:3" x14ac:dyDescent="0.25">
      <c r="A812" t="s">
        <v>533</v>
      </c>
      <c r="B812">
        <v>1</v>
      </c>
    </row>
    <row r="813" spans="1:3" x14ac:dyDescent="0.25">
      <c r="A813" t="s">
        <v>534</v>
      </c>
      <c r="B813">
        <v>500</v>
      </c>
    </row>
    <row r="814" spans="1:3" x14ac:dyDescent="0.25">
      <c r="A814" t="s">
        <v>535</v>
      </c>
      <c r="B814">
        <v>1.39</v>
      </c>
    </row>
    <row r="815" spans="1:3" x14ac:dyDescent="0.25">
      <c r="A815" t="s">
        <v>536</v>
      </c>
      <c r="B815">
        <v>0.61</v>
      </c>
    </row>
    <row r="816" spans="1:3" x14ac:dyDescent="0.25">
      <c r="A816" t="s">
        <v>537</v>
      </c>
      <c r="B816" t="s">
        <v>532</v>
      </c>
    </row>
    <row r="817" spans="1:3" x14ac:dyDescent="0.25">
      <c r="A817" t="s">
        <v>520</v>
      </c>
      <c r="B817" t="s">
        <v>532</v>
      </c>
    </row>
    <row r="819" spans="1:3" x14ac:dyDescent="0.25">
      <c r="A819" t="s">
        <v>513</v>
      </c>
      <c r="B819" t="s">
        <v>514</v>
      </c>
      <c r="C819" t="s">
        <v>174</v>
      </c>
    </row>
    <row r="820" spans="1:3" x14ac:dyDescent="0.25">
      <c r="A820" t="s">
        <v>516</v>
      </c>
      <c r="B820">
        <v>0.3</v>
      </c>
    </row>
    <row r="821" spans="1:3" x14ac:dyDescent="0.25">
      <c r="A821" t="s">
        <v>525</v>
      </c>
      <c r="B821">
        <v>0.3</v>
      </c>
    </row>
    <row r="822" spans="1:3" x14ac:dyDescent="0.25">
      <c r="A822" t="s">
        <v>526</v>
      </c>
      <c r="B822">
        <v>0.39</v>
      </c>
    </row>
    <row r="823" spans="1:3" x14ac:dyDescent="0.25">
      <c r="A823" t="s">
        <v>527</v>
      </c>
      <c r="B823">
        <v>0.28999999999999998</v>
      </c>
    </row>
    <row r="824" spans="1:3" x14ac:dyDescent="0.25">
      <c r="A824" t="s">
        <v>528</v>
      </c>
      <c r="B824" s="21" t="s">
        <v>621</v>
      </c>
    </row>
    <row r="825" spans="1:3" x14ac:dyDescent="0.25">
      <c r="A825" t="s">
        <v>529</v>
      </c>
      <c r="B825" t="s">
        <v>622</v>
      </c>
    </row>
    <row r="826" spans="1:3" x14ac:dyDescent="0.25">
      <c r="A826" t="s">
        <v>530</v>
      </c>
      <c r="B826">
        <v>0</v>
      </c>
    </row>
    <row r="827" spans="1:3" x14ac:dyDescent="0.25">
      <c r="A827" t="s">
        <v>531</v>
      </c>
      <c r="B827" t="s">
        <v>532</v>
      </c>
    </row>
    <row r="828" spans="1:3" x14ac:dyDescent="0.25">
      <c r="A828" t="s">
        <v>533</v>
      </c>
      <c r="B828">
        <v>0</v>
      </c>
    </row>
    <row r="829" spans="1:3" x14ac:dyDescent="0.25">
      <c r="A829" t="s">
        <v>534</v>
      </c>
      <c r="B829" t="s">
        <v>532</v>
      </c>
    </row>
    <row r="830" spans="1:3" x14ac:dyDescent="0.25">
      <c r="A830" t="s">
        <v>535</v>
      </c>
      <c r="B830">
        <v>2.19</v>
      </c>
    </row>
    <row r="831" spans="1:3" x14ac:dyDescent="0.25">
      <c r="A831" t="s">
        <v>536</v>
      </c>
      <c r="B831">
        <v>0.22</v>
      </c>
    </row>
    <row r="832" spans="1:3" x14ac:dyDescent="0.25">
      <c r="A832" t="s">
        <v>537</v>
      </c>
      <c r="B832" t="s">
        <v>532</v>
      </c>
    </row>
    <row r="833" spans="1:3" x14ac:dyDescent="0.25">
      <c r="A833" t="s">
        <v>520</v>
      </c>
      <c r="B833" t="s">
        <v>532</v>
      </c>
    </row>
    <row r="835" spans="1:3" x14ac:dyDescent="0.25">
      <c r="A835" t="s">
        <v>513</v>
      </c>
      <c r="B835" t="s">
        <v>514</v>
      </c>
      <c r="C835" t="s">
        <v>82</v>
      </c>
    </row>
    <row r="836" spans="1:3" x14ac:dyDescent="0.25">
      <c r="A836" t="s">
        <v>516</v>
      </c>
      <c r="B836">
        <v>0.2</v>
      </c>
    </row>
    <row r="837" spans="1:3" x14ac:dyDescent="0.25">
      <c r="A837" t="s">
        <v>525</v>
      </c>
      <c r="B837">
        <v>0.2</v>
      </c>
    </row>
    <row r="838" spans="1:3" x14ac:dyDescent="0.25">
      <c r="A838" t="s">
        <v>526</v>
      </c>
      <c r="B838">
        <v>0.2</v>
      </c>
    </row>
    <row r="839" spans="1:3" x14ac:dyDescent="0.25">
      <c r="A839" t="s">
        <v>527</v>
      </c>
      <c r="B839">
        <v>0.17</v>
      </c>
    </row>
    <row r="840" spans="1:3" x14ac:dyDescent="0.25">
      <c r="A840" t="s">
        <v>528</v>
      </c>
      <c r="B840" s="21">
        <v>15900</v>
      </c>
    </row>
    <row r="841" spans="1:3" x14ac:dyDescent="0.25">
      <c r="A841" t="s">
        <v>529</v>
      </c>
      <c r="B841" t="s">
        <v>532</v>
      </c>
    </row>
    <row r="842" spans="1:3" x14ac:dyDescent="0.25">
      <c r="A842" t="s">
        <v>530</v>
      </c>
      <c r="B842">
        <v>0</v>
      </c>
    </row>
    <row r="843" spans="1:3" x14ac:dyDescent="0.25">
      <c r="A843" t="s">
        <v>531</v>
      </c>
      <c r="B843" s="21" t="s">
        <v>532</v>
      </c>
    </row>
    <row r="844" spans="1:3" x14ac:dyDescent="0.25">
      <c r="A844" t="s">
        <v>533</v>
      </c>
      <c r="B844">
        <v>0</v>
      </c>
    </row>
    <row r="845" spans="1:3" x14ac:dyDescent="0.25">
      <c r="A845" t="s">
        <v>534</v>
      </c>
      <c r="B845" s="21" t="s">
        <v>532</v>
      </c>
    </row>
    <row r="846" spans="1:3" x14ac:dyDescent="0.25">
      <c r="A846" t="s">
        <v>535</v>
      </c>
      <c r="B846">
        <v>0.25</v>
      </c>
    </row>
    <row r="847" spans="1:3" x14ac:dyDescent="0.25">
      <c r="A847" t="s">
        <v>536</v>
      </c>
      <c r="B847">
        <v>0.11</v>
      </c>
    </row>
    <row r="848" spans="1:3" x14ac:dyDescent="0.25">
      <c r="A848" t="s">
        <v>537</v>
      </c>
      <c r="B848" t="s">
        <v>532</v>
      </c>
    </row>
    <row r="849" spans="1:3" x14ac:dyDescent="0.25">
      <c r="A849" t="s">
        <v>520</v>
      </c>
      <c r="B849" t="s">
        <v>532</v>
      </c>
    </row>
    <row r="851" spans="1:3" x14ac:dyDescent="0.25">
      <c r="A851" t="s">
        <v>513</v>
      </c>
      <c r="B851" t="s">
        <v>514</v>
      </c>
      <c r="C851" t="s">
        <v>186</v>
      </c>
    </row>
    <row r="852" spans="1:3" x14ac:dyDescent="0.25">
      <c r="A852" t="s">
        <v>516</v>
      </c>
      <c r="B852">
        <v>35.65</v>
      </c>
    </row>
    <row r="853" spans="1:3" x14ac:dyDescent="0.25">
      <c r="A853" t="s">
        <v>525</v>
      </c>
      <c r="B853">
        <v>35.479999999999997</v>
      </c>
    </row>
    <row r="854" spans="1:3" x14ac:dyDescent="0.25">
      <c r="A854" t="s">
        <v>526</v>
      </c>
      <c r="B854">
        <v>36.26</v>
      </c>
    </row>
    <row r="855" spans="1:3" x14ac:dyDescent="0.25">
      <c r="A855" t="s">
        <v>527</v>
      </c>
      <c r="B855">
        <v>35.33</v>
      </c>
    </row>
    <row r="856" spans="1:3" x14ac:dyDescent="0.25">
      <c r="A856" t="s">
        <v>528</v>
      </c>
      <c r="B856" s="21" t="s">
        <v>625</v>
      </c>
    </row>
    <row r="857" spans="1:3" x14ac:dyDescent="0.25">
      <c r="A857" t="s">
        <v>529</v>
      </c>
      <c r="B857" t="s">
        <v>567</v>
      </c>
    </row>
    <row r="858" spans="1:3" x14ac:dyDescent="0.25">
      <c r="A858" t="s">
        <v>530</v>
      </c>
      <c r="B858">
        <v>0</v>
      </c>
    </row>
    <row r="859" spans="1:3" x14ac:dyDescent="0.25">
      <c r="A859" t="s">
        <v>531</v>
      </c>
      <c r="B859" t="s">
        <v>532</v>
      </c>
    </row>
    <row r="860" spans="1:3" x14ac:dyDescent="0.25">
      <c r="A860" t="s">
        <v>533</v>
      </c>
      <c r="B860">
        <v>0</v>
      </c>
    </row>
    <row r="861" spans="1:3" x14ac:dyDescent="0.25">
      <c r="A861" t="s">
        <v>534</v>
      </c>
      <c r="B861" t="s">
        <v>532</v>
      </c>
    </row>
    <row r="862" spans="1:3" x14ac:dyDescent="0.25">
      <c r="A862" t="s">
        <v>535</v>
      </c>
      <c r="B862">
        <v>36.72</v>
      </c>
    </row>
    <row r="863" spans="1:3" x14ac:dyDescent="0.25">
      <c r="A863" t="s">
        <v>536</v>
      </c>
      <c r="B863">
        <v>7.35</v>
      </c>
    </row>
    <row r="864" spans="1:3" x14ac:dyDescent="0.25">
      <c r="A864" t="s">
        <v>537</v>
      </c>
      <c r="B864" t="s">
        <v>532</v>
      </c>
    </row>
    <row r="865" spans="1:3" x14ac:dyDescent="0.25">
      <c r="A865" t="s">
        <v>520</v>
      </c>
      <c r="B865" t="s">
        <v>532</v>
      </c>
    </row>
    <row r="867" spans="1:3" x14ac:dyDescent="0.25">
      <c r="A867" t="s">
        <v>513</v>
      </c>
      <c r="B867" t="s">
        <v>514</v>
      </c>
      <c r="C867" t="s">
        <v>199</v>
      </c>
    </row>
    <row r="868" spans="1:3" x14ac:dyDescent="0.25">
      <c r="A868" t="s">
        <v>516</v>
      </c>
      <c r="B868">
        <v>6.87</v>
      </c>
    </row>
    <row r="869" spans="1:3" x14ac:dyDescent="0.25">
      <c r="A869" t="s">
        <v>525</v>
      </c>
      <c r="B869">
        <v>6.84</v>
      </c>
    </row>
    <row r="870" spans="1:3" x14ac:dyDescent="0.25">
      <c r="A870" t="s">
        <v>526</v>
      </c>
      <c r="B870">
        <v>6.93</v>
      </c>
    </row>
    <row r="871" spans="1:3" x14ac:dyDescent="0.25">
      <c r="A871" t="s">
        <v>527</v>
      </c>
      <c r="B871">
        <v>6.77</v>
      </c>
    </row>
    <row r="872" spans="1:3" x14ac:dyDescent="0.25">
      <c r="A872" t="s">
        <v>528</v>
      </c>
      <c r="B872" s="21">
        <v>51329</v>
      </c>
    </row>
    <row r="873" spans="1:3" x14ac:dyDescent="0.25">
      <c r="A873" t="s">
        <v>529</v>
      </c>
      <c r="B873" s="22">
        <v>63664.61</v>
      </c>
    </row>
    <row r="874" spans="1:3" x14ac:dyDescent="0.25">
      <c r="A874" t="s">
        <v>530</v>
      </c>
      <c r="B874">
        <v>0</v>
      </c>
    </row>
    <row r="875" spans="1:3" x14ac:dyDescent="0.25">
      <c r="A875" t="s">
        <v>531</v>
      </c>
      <c r="B875" t="s">
        <v>532</v>
      </c>
    </row>
    <row r="876" spans="1:3" x14ac:dyDescent="0.25">
      <c r="A876" t="s">
        <v>533</v>
      </c>
      <c r="B876">
        <v>0</v>
      </c>
    </row>
    <row r="877" spans="1:3" x14ac:dyDescent="0.25">
      <c r="A877" t="s">
        <v>534</v>
      </c>
      <c r="B877" t="s">
        <v>532</v>
      </c>
    </row>
    <row r="878" spans="1:3" x14ac:dyDescent="0.25">
      <c r="A878" t="s">
        <v>535</v>
      </c>
      <c r="B878">
        <v>8.3699999999999992</v>
      </c>
    </row>
    <row r="879" spans="1:3" x14ac:dyDescent="0.25">
      <c r="A879" t="s">
        <v>536</v>
      </c>
      <c r="B879">
        <v>4.49</v>
      </c>
    </row>
    <row r="880" spans="1:3" x14ac:dyDescent="0.25">
      <c r="A880" t="s">
        <v>537</v>
      </c>
      <c r="B880" t="s">
        <v>532</v>
      </c>
    </row>
    <row r="881" spans="1:3" x14ac:dyDescent="0.25">
      <c r="A881" t="s">
        <v>520</v>
      </c>
      <c r="B881" t="s">
        <v>532</v>
      </c>
    </row>
    <row r="883" spans="1:3" x14ac:dyDescent="0.25">
      <c r="A883" t="s">
        <v>513</v>
      </c>
      <c r="B883" t="s">
        <v>514</v>
      </c>
      <c r="C883" t="s">
        <v>201</v>
      </c>
    </row>
    <row r="884" spans="1:3" x14ac:dyDescent="0.25">
      <c r="A884" t="s">
        <v>516</v>
      </c>
      <c r="B884">
        <v>14.36</v>
      </c>
    </row>
    <row r="885" spans="1:3" x14ac:dyDescent="0.25">
      <c r="A885" t="s">
        <v>525</v>
      </c>
      <c r="B885">
        <v>14.36</v>
      </c>
    </row>
    <row r="886" spans="1:3" x14ac:dyDescent="0.25">
      <c r="A886" t="s">
        <v>526</v>
      </c>
      <c r="B886">
        <v>14.62</v>
      </c>
    </row>
    <row r="887" spans="1:3" x14ac:dyDescent="0.25">
      <c r="A887" t="s">
        <v>527</v>
      </c>
      <c r="B887">
        <v>14.1</v>
      </c>
    </row>
    <row r="888" spans="1:3" x14ac:dyDescent="0.25">
      <c r="A888" t="s">
        <v>528</v>
      </c>
      <c r="B888" s="21">
        <v>28716</v>
      </c>
    </row>
    <row r="889" spans="1:3" x14ac:dyDescent="0.25">
      <c r="A889" t="s">
        <v>529</v>
      </c>
      <c r="B889" s="22">
        <v>47086.52</v>
      </c>
    </row>
    <row r="890" spans="1:3" x14ac:dyDescent="0.25">
      <c r="A890" t="s">
        <v>530</v>
      </c>
      <c r="B890">
        <v>0</v>
      </c>
    </row>
    <row r="891" spans="1:3" x14ac:dyDescent="0.25">
      <c r="A891" t="s">
        <v>531</v>
      </c>
      <c r="B891" t="s">
        <v>532</v>
      </c>
    </row>
    <row r="892" spans="1:3" x14ac:dyDescent="0.25">
      <c r="A892" t="s">
        <v>533</v>
      </c>
      <c r="B892">
        <v>0</v>
      </c>
    </row>
    <row r="893" spans="1:3" x14ac:dyDescent="0.25">
      <c r="A893" t="s">
        <v>534</v>
      </c>
      <c r="B893" t="s">
        <v>532</v>
      </c>
    </row>
    <row r="894" spans="1:3" x14ac:dyDescent="0.25">
      <c r="A894" t="s">
        <v>535</v>
      </c>
      <c r="B894">
        <v>14.99</v>
      </c>
    </row>
    <row r="895" spans="1:3" x14ac:dyDescent="0.25">
      <c r="A895" t="s">
        <v>536</v>
      </c>
      <c r="B895">
        <v>7.7</v>
      </c>
    </row>
    <row r="896" spans="1:3" x14ac:dyDescent="0.25">
      <c r="A896" t="s">
        <v>537</v>
      </c>
      <c r="B896" t="s">
        <v>532</v>
      </c>
    </row>
    <row r="897" spans="1:3" x14ac:dyDescent="0.25">
      <c r="A897" t="s">
        <v>520</v>
      </c>
      <c r="B897" t="s">
        <v>532</v>
      </c>
    </row>
    <row r="899" spans="1:3" x14ac:dyDescent="0.25">
      <c r="A899" t="s">
        <v>513</v>
      </c>
      <c r="B899" t="s">
        <v>514</v>
      </c>
      <c r="C899" t="s">
        <v>561</v>
      </c>
    </row>
    <row r="900" spans="1:3" x14ac:dyDescent="0.25">
      <c r="A900" t="s">
        <v>516</v>
      </c>
      <c r="B900">
        <v>21.59</v>
      </c>
    </row>
    <row r="901" spans="1:3" x14ac:dyDescent="0.25">
      <c r="A901" t="s">
        <v>525</v>
      </c>
      <c r="B901">
        <v>21.5</v>
      </c>
    </row>
    <row r="902" spans="1:3" x14ac:dyDescent="0.25">
      <c r="A902" t="s">
        <v>526</v>
      </c>
      <c r="B902">
        <v>22.42</v>
      </c>
    </row>
    <row r="903" spans="1:3" x14ac:dyDescent="0.25">
      <c r="A903" t="s">
        <v>527</v>
      </c>
      <c r="B903">
        <v>21.36</v>
      </c>
    </row>
    <row r="904" spans="1:3" x14ac:dyDescent="0.25">
      <c r="A904" t="s">
        <v>528</v>
      </c>
      <c r="B904" s="21">
        <v>127307</v>
      </c>
    </row>
    <row r="905" spans="1:3" x14ac:dyDescent="0.25">
      <c r="A905" t="s">
        <v>529</v>
      </c>
      <c r="B905" s="22">
        <v>78723.08</v>
      </c>
    </row>
    <row r="906" spans="1:3" x14ac:dyDescent="0.25">
      <c r="A906" t="s">
        <v>530</v>
      </c>
      <c r="B906">
        <v>0</v>
      </c>
    </row>
    <row r="907" spans="1:3" x14ac:dyDescent="0.25">
      <c r="A907" t="s">
        <v>531</v>
      </c>
      <c r="B907" t="s">
        <v>532</v>
      </c>
    </row>
    <row r="908" spans="1:3" x14ac:dyDescent="0.25">
      <c r="A908" t="s">
        <v>533</v>
      </c>
      <c r="B908">
        <v>0</v>
      </c>
    </row>
    <row r="909" spans="1:3" x14ac:dyDescent="0.25">
      <c r="A909" t="s">
        <v>534</v>
      </c>
      <c r="B909" t="s">
        <v>532</v>
      </c>
    </row>
    <row r="910" spans="1:3" x14ac:dyDescent="0.25">
      <c r="A910" t="s">
        <v>535</v>
      </c>
      <c r="B910">
        <v>22.42</v>
      </c>
    </row>
    <row r="911" spans="1:3" x14ac:dyDescent="0.25">
      <c r="A911" t="s">
        <v>536</v>
      </c>
      <c r="B911">
        <v>7</v>
      </c>
    </row>
    <row r="912" spans="1:3" x14ac:dyDescent="0.25">
      <c r="A912" t="s">
        <v>537</v>
      </c>
      <c r="B912" t="s">
        <v>532</v>
      </c>
    </row>
    <row r="913" spans="1:3" x14ac:dyDescent="0.25">
      <c r="A913" t="s">
        <v>520</v>
      </c>
      <c r="B913" t="s">
        <v>532</v>
      </c>
    </row>
    <row r="915" spans="1:3" x14ac:dyDescent="0.25">
      <c r="A915" t="s">
        <v>513</v>
      </c>
      <c r="B915" t="s">
        <v>514</v>
      </c>
      <c r="C915" t="s">
        <v>209</v>
      </c>
    </row>
    <row r="916" spans="1:3" x14ac:dyDescent="0.25">
      <c r="A916" t="s">
        <v>516</v>
      </c>
      <c r="B916">
        <v>0.63</v>
      </c>
    </row>
    <row r="917" spans="1:3" x14ac:dyDescent="0.25">
      <c r="A917" t="s">
        <v>525</v>
      </c>
      <c r="B917">
        <v>0.62</v>
      </c>
    </row>
    <row r="918" spans="1:3" x14ac:dyDescent="0.25">
      <c r="A918" t="s">
        <v>526</v>
      </c>
      <c r="B918">
        <v>0.63</v>
      </c>
    </row>
    <row r="919" spans="1:3" x14ac:dyDescent="0.25">
      <c r="A919" t="s">
        <v>527</v>
      </c>
      <c r="B919">
        <v>0.61</v>
      </c>
    </row>
    <row r="920" spans="1:3" x14ac:dyDescent="0.25">
      <c r="A920" t="s">
        <v>528</v>
      </c>
      <c r="B920" s="21">
        <v>307797</v>
      </c>
    </row>
    <row r="921" spans="1:3" x14ac:dyDescent="0.25">
      <c r="A921" t="s">
        <v>529</v>
      </c>
      <c r="B921" t="s">
        <v>532</v>
      </c>
    </row>
    <row r="922" spans="1:3" x14ac:dyDescent="0.25">
      <c r="A922" t="s">
        <v>530</v>
      </c>
      <c r="B922">
        <v>0</v>
      </c>
    </row>
    <row r="923" spans="1:3" x14ac:dyDescent="0.25">
      <c r="A923" t="s">
        <v>531</v>
      </c>
      <c r="B923" s="21" t="s">
        <v>532</v>
      </c>
    </row>
    <row r="924" spans="1:3" x14ac:dyDescent="0.25">
      <c r="A924" t="s">
        <v>533</v>
      </c>
      <c r="B924">
        <v>0</v>
      </c>
    </row>
    <row r="925" spans="1:3" x14ac:dyDescent="0.25">
      <c r="A925" t="s">
        <v>534</v>
      </c>
      <c r="B925" s="21" t="s">
        <v>532</v>
      </c>
    </row>
    <row r="926" spans="1:3" x14ac:dyDescent="0.25">
      <c r="A926" t="s">
        <v>535</v>
      </c>
      <c r="B926">
        <v>2.1800000000000002</v>
      </c>
    </row>
    <row r="927" spans="1:3" x14ac:dyDescent="0.25">
      <c r="A927" t="s">
        <v>536</v>
      </c>
      <c r="B927">
        <v>0.32</v>
      </c>
    </row>
    <row r="928" spans="1:3" x14ac:dyDescent="0.25">
      <c r="A928" t="s">
        <v>537</v>
      </c>
      <c r="B928" t="s">
        <v>532</v>
      </c>
    </row>
    <row r="929" spans="1:3" x14ac:dyDescent="0.25">
      <c r="A929" t="s">
        <v>520</v>
      </c>
      <c r="B929" t="s">
        <v>532</v>
      </c>
    </row>
    <row r="931" spans="1:3" x14ac:dyDescent="0.25">
      <c r="A931" t="s">
        <v>513</v>
      </c>
      <c r="B931" t="s">
        <v>514</v>
      </c>
      <c r="C931" t="s">
        <v>210</v>
      </c>
    </row>
    <row r="932" spans="1:3" x14ac:dyDescent="0.25">
      <c r="A932" t="s">
        <v>516</v>
      </c>
      <c r="B932">
        <v>2</v>
      </c>
    </row>
    <row r="933" spans="1:3" x14ac:dyDescent="0.25">
      <c r="A933" t="s">
        <v>525</v>
      </c>
      <c r="B933">
        <v>2.04</v>
      </c>
    </row>
    <row r="934" spans="1:3" x14ac:dyDescent="0.25">
      <c r="A934" t="s">
        <v>526</v>
      </c>
      <c r="B934">
        <v>2.04</v>
      </c>
    </row>
    <row r="935" spans="1:3" x14ac:dyDescent="0.25">
      <c r="A935" t="s">
        <v>527</v>
      </c>
      <c r="B935">
        <v>1.94</v>
      </c>
    </row>
    <row r="936" spans="1:3" x14ac:dyDescent="0.25">
      <c r="A936" t="s">
        <v>528</v>
      </c>
      <c r="B936" t="s">
        <v>628</v>
      </c>
    </row>
    <row r="937" spans="1:3" x14ac:dyDescent="0.25">
      <c r="A937" t="s">
        <v>529</v>
      </c>
      <c r="B937" t="s">
        <v>629</v>
      </c>
    </row>
    <row r="938" spans="1:3" x14ac:dyDescent="0.25">
      <c r="A938" t="s">
        <v>530</v>
      </c>
      <c r="B938">
        <v>0</v>
      </c>
    </row>
    <row r="939" spans="1:3" x14ac:dyDescent="0.25">
      <c r="A939" t="s">
        <v>531</v>
      </c>
      <c r="B939" s="21" t="s">
        <v>532</v>
      </c>
    </row>
    <row r="940" spans="1:3" x14ac:dyDescent="0.25">
      <c r="A940" t="s">
        <v>533</v>
      </c>
      <c r="B940">
        <v>0</v>
      </c>
    </row>
    <row r="941" spans="1:3" x14ac:dyDescent="0.25">
      <c r="A941" t="s">
        <v>534</v>
      </c>
      <c r="B941" s="21" t="s">
        <v>532</v>
      </c>
    </row>
    <row r="942" spans="1:3" x14ac:dyDescent="0.25">
      <c r="A942" t="s">
        <v>535</v>
      </c>
      <c r="B942">
        <v>3.33</v>
      </c>
    </row>
    <row r="943" spans="1:3" x14ac:dyDescent="0.25">
      <c r="A943" t="s">
        <v>536</v>
      </c>
      <c r="B943">
        <v>0.98</v>
      </c>
    </row>
    <row r="944" spans="1:3" x14ac:dyDescent="0.25">
      <c r="A944" t="s">
        <v>537</v>
      </c>
      <c r="B944" t="s">
        <v>532</v>
      </c>
    </row>
    <row r="945" spans="1:3" x14ac:dyDescent="0.25">
      <c r="A945" t="s">
        <v>520</v>
      </c>
      <c r="B945" t="s">
        <v>532</v>
      </c>
    </row>
    <row r="947" spans="1:3" x14ac:dyDescent="0.25">
      <c r="A947" t="s">
        <v>513</v>
      </c>
      <c r="B947" t="s">
        <v>514</v>
      </c>
      <c r="C947" t="s">
        <v>211</v>
      </c>
    </row>
    <row r="948" spans="1:3" x14ac:dyDescent="0.25">
      <c r="A948" t="s">
        <v>516</v>
      </c>
      <c r="B948">
        <v>3.66</v>
      </c>
    </row>
    <row r="949" spans="1:3" x14ac:dyDescent="0.25">
      <c r="A949" t="s">
        <v>525</v>
      </c>
      <c r="B949">
        <v>3.66</v>
      </c>
    </row>
    <row r="950" spans="1:3" x14ac:dyDescent="0.25">
      <c r="A950" t="s">
        <v>526</v>
      </c>
      <c r="B950">
        <v>3.7</v>
      </c>
    </row>
    <row r="951" spans="1:3" x14ac:dyDescent="0.25">
      <c r="A951" t="s">
        <v>527</v>
      </c>
      <c r="B951">
        <v>3.58</v>
      </c>
    </row>
    <row r="952" spans="1:3" x14ac:dyDescent="0.25">
      <c r="A952" t="s">
        <v>528</v>
      </c>
      <c r="B952" s="21">
        <v>162117</v>
      </c>
    </row>
    <row r="953" spans="1:3" x14ac:dyDescent="0.25">
      <c r="A953" t="s">
        <v>529</v>
      </c>
      <c r="B953" s="22">
        <v>217771.51</v>
      </c>
    </row>
    <row r="954" spans="1:3" x14ac:dyDescent="0.25">
      <c r="A954" t="s">
        <v>530</v>
      </c>
      <c r="B954">
        <v>0</v>
      </c>
    </row>
    <row r="955" spans="1:3" x14ac:dyDescent="0.25">
      <c r="A955" t="s">
        <v>531</v>
      </c>
      <c r="B955" t="s">
        <v>532</v>
      </c>
    </row>
    <row r="956" spans="1:3" x14ac:dyDescent="0.25">
      <c r="A956" t="s">
        <v>533</v>
      </c>
      <c r="B956">
        <v>0</v>
      </c>
    </row>
    <row r="957" spans="1:3" x14ac:dyDescent="0.25">
      <c r="A957" t="s">
        <v>534</v>
      </c>
      <c r="B957" t="s">
        <v>532</v>
      </c>
    </row>
    <row r="958" spans="1:3" x14ac:dyDescent="0.25">
      <c r="A958" t="s">
        <v>535</v>
      </c>
      <c r="B958">
        <v>4.5999999999999996</v>
      </c>
    </row>
    <row r="959" spans="1:3" x14ac:dyDescent="0.25">
      <c r="A959" t="s">
        <v>536</v>
      </c>
      <c r="B959">
        <v>2.72</v>
      </c>
    </row>
    <row r="960" spans="1:3" x14ac:dyDescent="0.25">
      <c r="A960" t="s">
        <v>537</v>
      </c>
      <c r="B960" t="s">
        <v>532</v>
      </c>
    </row>
    <row r="961" spans="1:3" x14ac:dyDescent="0.25">
      <c r="A961" t="s">
        <v>520</v>
      </c>
      <c r="B961" t="s">
        <v>532</v>
      </c>
    </row>
    <row r="963" spans="1:3" x14ac:dyDescent="0.25">
      <c r="A963" t="s">
        <v>513</v>
      </c>
      <c r="B963" t="s">
        <v>514</v>
      </c>
      <c r="C963" t="s">
        <v>212</v>
      </c>
    </row>
    <row r="964" spans="1:3" x14ac:dyDescent="0.25">
      <c r="A964" t="s">
        <v>516</v>
      </c>
      <c r="B964">
        <v>4.37</v>
      </c>
    </row>
    <row r="965" spans="1:3" x14ac:dyDescent="0.25">
      <c r="A965" t="s">
        <v>525</v>
      </c>
      <c r="B965">
        <v>4.28</v>
      </c>
    </row>
    <row r="966" spans="1:3" x14ac:dyDescent="0.25">
      <c r="A966" t="s">
        <v>526</v>
      </c>
      <c r="B966">
        <v>4.33</v>
      </c>
    </row>
    <row r="967" spans="1:3" x14ac:dyDescent="0.25">
      <c r="A967" t="s">
        <v>527</v>
      </c>
      <c r="B967">
        <v>4.2</v>
      </c>
    </row>
    <row r="968" spans="1:3" x14ac:dyDescent="0.25">
      <c r="A968" t="s">
        <v>528</v>
      </c>
      <c r="B968" t="s">
        <v>590</v>
      </c>
    </row>
    <row r="969" spans="1:3" x14ac:dyDescent="0.25">
      <c r="A969" t="s">
        <v>529</v>
      </c>
      <c r="B969" t="s">
        <v>591</v>
      </c>
    </row>
    <row r="970" spans="1:3" x14ac:dyDescent="0.25">
      <c r="A970" t="s">
        <v>530</v>
      </c>
      <c r="B970">
        <v>4.21</v>
      </c>
    </row>
    <row r="971" spans="1:3" x14ac:dyDescent="0.25">
      <c r="A971" t="s">
        <v>531</v>
      </c>
      <c r="B971" s="21">
        <v>1000</v>
      </c>
    </row>
    <row r="972" spans="1:3" x14ac:dyDescent="0.25">
      <c r="A972" t="s">
        <v>533</v>
      </c>
      <c r="B972">
        <v>4.2300000000000004</v>
      </c>
    </row>
    <row r="973" spans="1:3" x14ac:dyDescent="0.25">
      <c r="A973" t="s">
        <v>534</v>
      </c>
      <c r="B973" s="21">
        <v>300</v>
      </c>
    </row>
    <row r="974" spans="1:3" x14ac:dyDescent="0.25">
      <c r="A974" t="s">
        <v>535</v>
      </c>
      <c r="B974">
        <v>4.68</v>
      </c>
    </row>
    <row r="975" spans="1:3" x14ac:dyDescent="0.25">
      <c r="A975" t="s">
        <v>536</v>
      </c>
      <c r="B975">
        <v>1.27</v>
      </c>
    </row>
    <row r="976" spans="1:3" x14ac:dyDescent="0.25">
      <c r="A976" t="s">
        <v>537</v>
      </c>
      <c r="B976" t="s">
        <v>532</v>
      </c>
    </row>
    <row r="977" spans="1:3" x14ac:dyDescent="0.25">
      <c r="A977" t="s">
        <v>520</v>
      </c>
      <c r="B977" t="s">
        <v>532</v>
      </c>
    </row>
    <row r="979" spans="1:3" x14ac:dyDescent="0.25">
      <c r="A979" t="s">
        <v>513</v>
      </c>
      <c r="B979" t="s">
        <v>514</v>
      </c>
      <c r="C979" t="s">
        <v>215</v>
      </c>
    </row>
    <row r="980" spans="1:3" x14ac:dyDescent="0.25">
      <c r="A980" t="s">
        <v>516</v>
      </c>
      <c r="B980">
        <v>32.6</v>
      </c>
    </row>
    <row r="981" spans="1:3" x14ac:dyDescent="0.25">
      <c r="A981" t="s">
        <v>525</v>
      </c>
      <c r="B981">
        <v>32.6</v>
      </c>
    </row>
    <row r="982" spans="1:3" x14ac:dyDescent="0.25">
      <c r="A982" t="s">
        <v>526</v>
      </c>
      <c r="B982">
        <v>32.6</v>
      </c>
    </row>
    <row r="983" spans="1:3" x14ac:dyDescent="0.25">
      <c r="A983" t="s">
        <v>527</v>
      </c>
      <c r="B983">
        <v>32.6</v>
      </c>
    </row>
    <row r="984" spans="1:3" x14ac:dyDescent="0.25">
      <c r="A984" t="s">
        <v>528</v>
      </c>
      <c r="B984" s="21">
        <v>100</v>
      </c>
    </row>
    <row r="985" spans="1:3" x14ac:dyDescent="0.25">
      <c r="A985" t="s">
        <v>529</v>
      </c>
      <c r="B985" s="22">
        <v>2786.62</v>
      </c>
    </row>
    <row r="986" spans="1:3" x14ac:dyDescent="0.25">
      <c r="A986" t="s">
        <v>530</v>
      </c>
      <c r="B986">
        <v>0</v>
      </c>
    </row>
    <row r="987" spans="1:3" x14ac:dyDescent="0.25">
      <c r="A987" t="s">
        <v>531</v>
      </c>
      <c r="B987" t="s">
        <v>532</v>
      </c>
    </row>
    <row r="988" spans="1:3" x14ac:dyDescent="0.25">
      <c r="A988" t="s">
        <v>533</v>
      </c>
      <c r="B988">
        <v>0</v>
      </c>
    </row>
    <row r="989" spans="1:3" x14ac:dyDescent="0.25">
      <c r="A989" t="s">
        <v>534</v>
      </c>
      <c r="B989" t="s">
        <v>532</v>
      </c>
    </row>
    <row r="990" spans="1:3" x14ac:dyDescent="0.25">
      <c r="A990" t="s">
        <v>535</v>
      </c>
      <c r="B990">
        <v>37</v>
      </c>
    </row>
    <row r="991" spans="1:3" x14ac:dyDescent="0.25">
      <c r="A991" t="s">
        <v>536</v>
      </c>
      <c r="B991">
        <v>22.81</v>
      </c>
    </row>
    <row r="992" spans="1:3" x14ac:dyDescent="0.25">
      <c r="A992" t="s">
        <v>537</v>
      </c>
      <c r="B992">
        <v>0.64</v>
      </c>
    </row>
    <row r="993" spans="1:3" x14ac:dyDescent="0.25">
      <c r="A993" t="s">
        <v>520</v>
      </c>
      <c r="B993">
        <v>1.96</v>
      </c>
    </row>
    <row r="995" spans="1:3" x14ac:dyDescent="0.25">
      <c r="A995" t="s">
        <v>513</v>
      </c>
      <c r="B995" t="s">
        <v>514</v>
      </c>
      <c r="C995" t="s">
        <v>221</v>
      </c>
    </row>
    <row r="996" spans="1:3" x14ac:dyDescent="0.25">
      <c r="A996" t="s">
        <v>516</v>
      </c>
      <c r="B996">
        <v>419</v>
      </c>
    </row>
    <row r="997" spans="1:3" x14ac:dyDescent="0.25">
      <c r="A997" t="s">
        <v>525</v>
      </c>
      <c r="B997">
        <v>417.4</v>
      </c>
    </row>
    <row r="998" spans="1:3" x14ac:dyDescent="0.25">
      <c r="A998" t="s">
        <v>526</v>
      </c>
      <c r="B998">
        <v>417.4</v>
      </c>
    </row>
    <row r="999" spans="1:3" x14ac:dyDescent="0.25">
      <c r="A999" t="s">
        <v>527</v>
      </c>
      <c r="B999">
        <v>417.4</v>
      </c>
    </row>
    <row r="1000" spans="1:3" x14ac:dyDescent="0.25">
      <c r="A1000" t="s">
        <v>528</v>
      </c>
      <c r="B1000">
        <v>18</v>
      </c>
    </row>
    <row r="1001" spans="1:3" x14ac:dyDescent="0.25">
      <c r="A1001" t="s">
        <v>529</v>
      </c>
      <c r="B1001">
        <v>57.56</v>
      </c>
    </row>
    <row r="1002" spans="1:3" x14ac:dyDescent="0.25">
      <c r="A1002" t="s">
        <v>530</v>
      </c>
      <c r="B1002">
        <v>0</v>
      </c>
    </row>
    <row r="1003" spans="1:3" x14ac:dyDescent="0.25">
      <c r="A1003" t="s">
        <v>531</v>
      </c>
      <c r="B1003" t="s">
        <v>532</v>
      </c>
    </row>
    <row r="1004" spans="1:3" x14ac:dyDescent="0.25">
      <c r="A1004" t="s">
        <v>533</v>
      </c>
      <c r="B1004">
        <v>0</v>
      </c>
    </row>
    <row r="1005" spans="1:3" x14ac:dyDescent="0.25">
      <c r="A1005" t="s">
        <v>534</v>
      </c>
      <c r="B1005" t="s">
        <v>532</v>
      </c>
    </row>
    <row r="1006" spans="1:3" x14ac:dyDescent="0.25">
      <c r="A1006" t="s">
        <v>535</v>
      </c>
      <c r="B1006">
        <v>430</v>
      </c>
    </row>
    <row r="1007" spans="1:3" x14ac:dyDescent="0.25">
      <c r="A1007" t="s">
        <v>536</v>
      </c>
      <c r="B1007">
        <v>375</v>
      </c>
    </row>
    <row r="1008" spans="1:3" x14ac:dyDescent="0.25">
      <c r="A1008" t="s">
        <v>537</v>
      </c>
      <c r="B1008">
        <v>11.6</v>
      </c>
    </row>
    <row r="1009" spans="1:3" x14ac:dyDescent="0.25">
      <c r="A1009" t="s">
        <v>520</v>
      </c>
      <c r="B1009">
        <v>2.67</v>
      </c>
    </row>
    <row r="1011" spans="1:3" x14ac:dyDescent="0.25">
      <c r="A1011" t="s">
        <v>513</v>
      </c>
      <c r="B1011" t="s">
        <v>514</v>
      </c>
      <c r="C1011" t="s">
        <v>471</v>
      </c>
    </row>
    <row r="1012" spans="1:3" x14ac:dyDescent="0.25">
      <c r="A1012" t="s">
        <v>516</v>
      </c>
      <c r="B1012">
        <v>50.49</v>
      </c>
    </row>
    <row r="1013" spans="1:3" x14ac:dyDescent="0.25">
      <c r="A1013" t="s">
        <v>525</v>
      </c>
      <c r="B1013">
        <v>50.45</v>
      </c>
    </row>
    <row r="1014" spans="1:3" x14ac:dyDescent="0.25">
      <c r="A1014" t="s">
        <v>526</v>
      </c>
      <c r="B1014">
        <v>50.74</v>
      </c>
    </row>
    <row r="1015" spans="1:3" x14ac:dyDescent="0.25">
      <c r="A1015" t="s">
        <v>527</v>
      </c>
      <c r="B1015">
        <v>49.95</v>
      </c>
    </row>
    <row r="1016" spans="1:3" x14ac:dyDescent="0.25">
      <c r="A1016" t="s">
        <v>528</v>
      </c>
      <c r="B1016" s="21">
        <v>937296</v>
      </c>
    </row>
    <row r="1017" spans="1:3" x14ac:dyDescent="0.25">
      <c r="A1017" t="s">
        <v>529</v>
      </c>
      <c r="B1017" t="s">
        <v>618</v>
      </c>
    </row>
    <row r="1018" spans="1:3" x14ac:dyDescent="0.25">
      <c r="A1018" t="s">
        <v>530</v>
      </c>
      <c r="B1018">
        <v>49.51</v>
      </c>
    </row>
    <row r="1019" spans="1:3" x14ac:dyDescent="0.25">
      <c r="A1019" t="s">
        <v>531</v>
      </c>
      <c r="B1019">
        <v>200</v>
      </c>
    </row>
    <row r="1020" spans="1:3" x14ac:dyDescent="0.25">
      <c r="A1020" t="s">
        <v>533</v>
      </c>
      <c r="B1020">
        <v>50.5</v>
      </c>
    </row>
    <row r="1021" spans="1:3" x14ac:dyDescent="0.25">
      <c r="A1021" t="s">
        <v>534</v>
      </c>
      <c r="B1021">
        <v>100</v>
      </c>
    </row>
    <row r="1022" spans="1:3" x14ac:dyDescent="0.25">
      <c r="A1022" t="s">
        <v>535</v>
      </c>
      <c r="B1022">
        <v>59.52</v>
      </c>
    </row>
    <row r="1023" spans="1:3" x14ac:dyDescent="0.25">
      <c r="A1023" t="s">
        <v>536</v>
      </c>
      <c r="B1023">
        <v>47.26</v>
      </c>
    </row>
    <row r="1024" spans="1:3" x14ac:dyDescent="0.25">
      <c r="A1024" t="s">
        <v>537</v>
      </c>
      <c r="B1024">
        <v>2.46</v>
      </c>
    </row>
    <row r="1025" spans="1:3" x14ac:dyDescent="0.25">
      <c r="A1025" t="s">
        <v>520</v>
      </c>
      <c r="B1025">
        <v>4.87</v>
      </c>
    </row>
    <row r="1027" spans="1:3" x14ac:dyDescent="0.25">
      <c r="A1027" t="s">
        <v>513</v>
      </c>
      <c r="B1027" t="s">
        <v>514</v>
      </c>
      <c r="C1027" t="s">
        <v>472</v>
      </c>
    </row>
    <row r="1028" spans="1:3" x14ac:dyDescent="0.25">
      <c r="A1028" t="s">
        <v>516</v>
      </c>
      <c r="B1028">
        <v>50.1</v>
      </c>
    </row>
    <row r="1029" spans="1:3" x14ac:dyDescent="0.25">
      <c r="A1029" t="s">
        <v>525</v>
      </c>
      <c r="B1029">
        <v>50.21</v>
      </c>
    </row>
    <row r="1030" spans="1:3" x14ac:dyDescent="0.25">
      <c r="A1030" t="s">
        <v>526</v>
      </c>
      <c r="B1030">
        <v>50.95</v>
      </c>
    </row>
    <row r="1031" spans="1:3" x14ac:dyDescent="0.25">
      <c r="A1031" t="s">
        <v>527</v>
      </c>
      <c r="B1031">
        <v>50.02</v>
      </c>
    </row>
    <row r="1032" spans="1:3" x14ac:dyDescent="0.25">
      <c r="A1032" t="s">
        <v>528</v>
      </c>
      <c r="B1032" s="21">
        <v>344969</v>
      </c>
    </row>
    <row r="1033" spans="1:3" x14ac:dyDescent="0.25">
      <c r="A1033" t="s">
        <v>529</v>
      </c>
      <c r="B1033" s="22">
        <v>397629.97</v>
      </c>
    </row>
    <row r="1034" spans="1:3" x14ac:dyDescent="0.25">
      <c r="A1034" t="s">
        <v>530</v>
      </c>
      <c r="B1034">
        <v>48.35</v>
      </c>
    </row>
    <row r="1035" spans="1:3" x14ac:dyDescent="0.25">
      <c r="A1035" t="s">
        <v>531</v>
      </c>
      <c r="B1035">
        <v>300</v>
      </c>
    </row>
    <row r="1036" spans="1:3" x14ac:dyDescent="0.25">
      <c r="A1036" t="s">
        <v>533</v>
      </c>
      <c r="B1036">
        <v>51.4</v>
      </c>
    </row>
    <row r="1037" spans="1:3" x14ac:dyDescent="0.25">
      <c r="A1037" t="s">
        <v>534</v>
      </c>
      <c r="B1037" s="21">
        <v>1200</v>
      </c>
    </row>
    <row r="1038" spans="1:3" x14ac:dyDescent="0.25">
      <c r="A1038" t="s">
        <v>535</v>
      </c>
      <c r="B1038">
        <v>61.34</v>
      </c>
    </row>
    <row r="1039" spans="1:3" x14ac:dyDescent="0.25">
      <c r="A1039" t="s">
        <v>536</v>
      </c>
      <c r="B1039">
        <v>45.4</v>
      </c>
    </row>
    <row r="1040" spans="1:3" x14ac:dyDescent="0.25">
      <c r="A1040" t="s">
        <v>537</v>
      </c>
      <c r="B1040">
        <v>2.9</v>
      </c>
    </row>
    <row r="1041" spans="1:3" x14ac:dyDescent="0.25">
      <c r="A1041" t="s">
        <v>520</v>
      </c>
      <c r="B1041">
        <v>5.79</v>
      </c>
    </row>
    <row r="1043" spans="1:3" x14ac:dyDescent="0.25">
      <c r="A1043" t="s">
        <v>513</v>
      </c>
      <c r="B1043" t="s">
        <v>514</v>
      </c>
      <c r="C1043" t="s">
        <v>473</v>
      </c>
    </row>
    <row r="1044" spans="1:3" x14ac:dyDescent="0.25">
      <c r="A1044" t="s">
        <v>516</v>
      </c>
      <c r="B1044">
        <v>68.17</v>
      </c>
    </row>
    <row r="1045" spans="1:3" x14ac:dyDescent="0.25">
      <c r="A1045" t="s">
        <v>525</v>
      </c>
      <c r="B1045">
        <v>68.2</v>
      </c>
    </row>
    <row r="1046" spans="1:3" x14ac:dyDescent="0.25">
      <c r="A1046" t="s">
        <v>526</v>
      </c>
      <c r="B1046">
        <v>69</v>
      </c>
    </row>
    <row r="1047" spans="1:3" x14ac:dyDescent="0.25">
      <c r="A1047" t="s">
        <v>527</v>
      </c>
      <c r="B1047">
        <v>67.95</v>
      </c>
    </row>
    <row r="1048" spans="1:3" x14ac:dyDescent="0.25">
      <c r="A1048" t="s">
        <v>528</v>
      </c>
      <c r="B1048" s="21">
        <v>690025</v>
      </c>
    </row>
    <row r="1049" spans="1:3" x14ac:dyDescent="0.25">
      <c r="A1049" t="s">
        <v>529</v>
      </c>
      <c r="B1049" s="22">
        <v>874207.15</v>
      </c>
    </row>
    <row r="1050" spans="1:3" x14ac:dyDescent="0.25">
      <c r="A1050" t="s">
        <v>530</v>
      </c>
      <c r="B1050">
        <v>68.55</v>
      </c>
    </row>
    <row r="1051" spans="1:3" x14ac:dyDescent="0.25">
      <c r="A1051" t="s">
        <v>531</v>
      </c>
      <c r="B1051">
        <v>100</v>
      </c>
    </row>
    <row r="1052" spans="1:3" x14ac:dyDescent="0.25">
      <c r="A1052" t="s">
        <v>533</v>
      </c>
      <c r="B1052">
        <v>68.900000000000006</v>
      </c>
    </row>
    <row r="1053" spans="1:3" x14ac:dyDescent="0.25">
      <c r="A1053" t="s">
        <v>534</v>
      </c>
      <c r="B1053" s="21">
        <v>1500</v>
      </c>
    </row>
    <row r="1054" spans="1:3" x14ac:dyDescent="0.25">
      <c r="A1054" t="s">
        <v>535</v>
      </c>
      <c r="B1054">
        <v>75.790000000000006</v>
      </c>
    </row>
    <row r="1055" spans="1:3" x14ac:dyDescent="0.25">
      <c r="A1055" t="s">
        <v>536</v>
      </c>
      <c r="B1055">
        <v>52.4</v>
      </c>
    </row>
    <row r="1056" spans="1:3" x14ac:dyDescent="0.25">
      <c r="A1056" t="s">
        <v>537</v>
      </c>
      <c r="B1056">
        <v>3.4</v>
      </c>
    </row>
    <row r="1057" spans="1:3" x14ac:dyDescent="0.25">
      <c r="A1057" t="s">
        <v>520</v>
      </c>
      <c r="B1057">
        <v>4.99</v>
      </c>
    </row>
    <row r="1059" spans="1:3" x14ac:dyDescent="0.25">
      <c r="A1059" t="s">
        <v>513</v>
      </c>
      <c r="B1059" t="s">
        <v>514</v>
      </c>
      <c r="C1059" t="s">
        <v>474</v>
      </c>
    </row>
    <row r="1060" spans="1:3" x14ac:dyDescent="0.25">
      <c r="A1060" t="s">
        <v>516</v>
      </c>
      <c r="B1060">
        <v>26.52</v>
      </c>
    </row>
    <row r="1061" spans="1:3" x14ac:dyDescent="0.25">
      <c r="A1061" t="s">
        <v>525</v>
      </c>
      <c r="B1061">
        <v>26.54</v>
      </c>
    </row>
    <row r="1062" spans="1:3" x14ac:dyDescent="0.25">
      <c r="A1062" t="s">
        <v>526</v>
      </c>
      <c r="B1062">
        <v>26.78</v>
      </c>
    </row>
    <row r="1063" spans="1:3" x14ac:dyDescent="0.25">
      <c r="A1063" t="s">
        <v>527</v>
      </c>
      <c r="B1063">
        <v>26.47</v>
      </c>
    </row>
    <row r="1064" spans="1:3" x14ac:dyDescent="0.25">
      <c r="A1064" t="s">
        <v>528</v>
      </c>
      <c r="B1064" s="21">
        <v>230186</v>
      </c>
    </row>
    <row r="1065" spans="1:3" x14ac:dyDescent="0.25">
      <c r="A1065" t="s">
        <v>529</v>
      </c>
      <c r="B1065" s="22">
        <v>438000.89</v>
      </c>
    </row>
    <row r="1066" spans="1:3" x14ac:dyDescent="0.25">
      <c r="A1066" t="s">
        <v>530</v>
      </c>
      <c r="B1066">
        <v>22.5</v>
      </c>
    </row>
    <row r="1067" spans="1:3" x14ac:dyDescent="0.25">
      <c r="A1067" t="s">
        <v>531</v>
      </c>
      <c r="B1067">
        <v>100</v>
      </c>
    </row>
    <row r="1068" spans="1:3" x14ac:dyDescent="0.25">
      <c r="A1068" t="s">
        <v>533</v>
      </c>
      <c r="B1068">
        <v>27.3</v>
      </c>
    </row>
    <row r="1069" spans="1:3" x14ac:dyDescent="0.25">
      <c r="A1069" t="s">
        <v>534</v>
      </c>
      <c r="B1069">
        <v>100</v>
      </c>
    </row>
    <row r="1070" spans="1:3" x14ac:dyDescent="0.25">
      <c r="A1070" t="s">
        <v>535</v>
      </c>
      <c r="B1070">
        <v>29.26</v>
      </c>
    </row>
    <row r="1071" spans="1:3" x14ac:dyDescent="0.25">
      <c r="A1071" t="s">
        <v>536</v>
      </c>
      <c r="B1071">
        <v>21.87</v>
      </c>
    </row>
    <row r="1072" spans="1:3" x14ac:dyDescent="0.25">
      <c r="A1072" t="s">
        <v>537</v>
      </c>
      <c r="B1072">
        <v>2.2000000000000002</v>
      </c>
    </row>
    <row r="1073" spans="1:3" x14ac:dyDescent="0.25">
      <c r="A1073" t="s">
        <v>520</v>
      </c>
      <c r="B1073">
        <v>8.3000000000000007</v>
      </c>
    </row>
    <row r="1075" spans="1:3" x14ac:dyDescent="0.25">
      <c r="A1075" t="s">
        <v>513</v>
      </c>
      <c r="B1075" t="s">
        <v>514</v>
      </c>
      <c r="C1075" t="s">
        <v>475</v>
      </c>
    </row>
    <row r="1076" spans="1:3" x14ac:dyDescent="0.25">
      <c r="A1076" t="s">
        <v>516</v>
      </c>
      <c r="B1076">
        <v>32.4</v>
      </c>
    </row>
    <row r="1077" spans="1:3" x14ac:dyDescent="0.25">
      <c r="A1077" t="s">
        <v>525</v>
      </c>
      <c r="B1077">
        <v>32.42</v>
      </c>
    </row>
    <row r="1078" spans="1:3" x14ac:dyDescent="0.25">
      <c r="A1078" t="s">
        <v>526</v>
      </c>
      <c r="B1078">
        <v>32.9</v>
      </c>
    </row>
    <row r="1079" spans="1:3" x14ac:dyDescent="0.25">
      <c r="A1079" t="s">
        <v>527</v>
      </c>
      <c r="B1079">
        <v>32.01</v>
      </c>
    </row>
    <row r="1080" spans="1:3" x14ac:dyDescent="0.25">
      <c r="A1080" t="s">
        <v>528</v>
      </c>
      <c r="B1080" s="21">
        <v>83336</v>
      </c>
    </row>
    <row r="1081" spans="1:3" x14ac:dyDescent="0.25">
      <c r="A1081" t="s">
        <v>529</v>
      </c>
      <c r="B1081" s="22">
        <v>134657.07</v>
      </c>
    </row>
    <row r="1082" spans="1:3" x14ac:dyDescent="0.25">
      <c r="A1082" t="s">
        <v>530</v>
      </c>
      <c r="B1082">
        <v>29.25</v>
      </c>
    </row>
    <row r="1083" spans="1:3" x14ac:dyDescent="0.25">
      <c r="A1083" t="s">
        <v>531</v>
      </c>
      <c r="B1083">
        <v>200</v>
      </c>
    </row>
    <row r="1084" spans="1:3" x14ac:dyDescent="0.25">
      <c r="A1084" t="s">
        <v>533</v>
      </c>
      <c r="B1084">
        <v>35</v>
      </c>
    </row>
    <row r="1085" spans="1:3" x14ac:dyDescent="0.25">
      <c r="A1085" t="s">
        <v>534</v>
      </c>
      <c r="B1085">
        <v>700</v>
      </c>
    </row>
    <row r="1086" spans="1:3" x14ac:dyDescent="0.25">
      <c r="A1086" t="s">
        <v>535</v>
      </c>
      <c r="B1086">
        <v>36.090000000000003</v>
      </c>
    </row>
    <row r="1087" spans="1:3" x14ac:dyDescent="0.25">
      <c r="A1087" t="s">
        <v>536</v>
      </c>
      <c r="B1087">
        <v>26.71</v>
      </c>
    </row>
    <row r="1088" spans="1:3" x14ac:dyDescent="0.25">
      <c r="A1088" t="s">
        <v>537</v>
      </c>
      <c r="B1088">
        <v>2.1</v>
      </c>
    </row>
    <row r="1089" spans="1:3" x14ac:dyDescent="0.25">
      <c r="A1089" t="s">
        <v>520</v>
      </c>
      <c r="B1089">
        <v>6.49</v>
      </c>
    </row>
    <row r="1091" spans="1:3" x14ac:dyDescent="0.25">
      <c r="A1091" t="s">
        <v>513</v>
      </c>
      <c r="B1091" t="s">
        <v>514</v>
      </c>
      <c r="C1091" t="s">
        <v>476</v>
      </c>
    </row>
    <row r="1092" spans="1:3" x14ac:dyDescent="0.25">
      <c r="A1092" t="s">
        <v>516</v>
      </c>
      <c r="B1092">
        <v>23.33</v>
      </c>
    </row>
    <row r="1093" spans="1:3" x14ac:dyDescent="0.25">
      <c r="A1093" t="s">
        <v>525</v>
      </c>
      <c r="B1093">
        <v>23.2</v>
      </c>
    </row>
    <row r="1094" spans="1:3" x14ac:dyDescent="0.25">
      <c r="A1094" t="s">
        <v>526</v>
      </c>
      <c r="B1094">
        <v>23.43</v>
      </c>
    </row>
    <row r="1095" spans="1:3" x14ac:dyDescent="0.25">
      <c r="A1095" t="s">
        <v>527</v>
      </c>
      <c r="B1095">
        <v>23.06</v>
      </c>
    </row>
    <row r="1096" spans="1:3" x14ac:dyDescent="0.25">
      <c r="A1096" t="s">
        <v>528</v>
      </c>
      <c r="B1096" s="21">
        <v>482031</v>
      </c>
    </row>
    <row r="1097" spans="1:3" x14ac:dyDescent="0.25">
      <c r="A1097" t="s">
        <v>529</v>
      </c>
      <c r="B1097" s="22" t="s">
        <v>585</v>
      </c>
    </row>
    <row r="1098" spans="1:3" x14ac:dyDescent="0.25">
      <c r="A1098" t="s">
        <v>530</v>
      </c>
      <c r="B1098">
        <v>22.72</v>
      </c>
    </row>
    <row r="1099" spans="1:3" x14ac:dyDescent="0.25">
      <c r="A1099" t="s">
        <v>531</v>
      </c>
      <c r="B1099">
        <v>100</v>
      </c>
    </row>
    <row r="1100" spans="1:3" x14ac:dyDescent="0.25">
      <c r="A1100" t="s">
        <v>533</v>
      </c>
      <c r="B1100">
        <v>24.72</v>
      </c>
    </row>
    <row r="1101" spans="1:3" x14ac:dyDescent="0.25">
      <c r="A1101" t="s">
        <v>534</v>
      </c>
      <c r="B1101" s="21">
        <v>100</v>
      </c>
    </row>
    <row r="1102" spans="1:3" x14ac:dyDescent="0.25">
      <c r="A1102" t="s">
        <v>535</v>
      </c>
      <c r="B1102">
        <v>28.37</v>
      </c>
    </row>
    <row r="1103" spans="1:3" x14ac:dyDescent="0.25">
      <c r="A1103" t="s">
        <v>536</v>
      </c>
      <c r="B1103">
        <v>20.399999999999999</v>
      </c>
    </row>
    <row r="1104" spans="1:3" x14ac:dyDescent="0.25">
      <c r="A1104" t="s">
        <v>537</v>
      </c>
      <c r="B1104">
        <v>1.62</v>
      </c>
    </row>
    <row r="1105" spans="1:3" x14ac:dyDescent="0.25">
      <c r="A1105" t="s">
        <v>520</v>
      </c>
      <c r="B1105">
        <v>6.93</v>
      </c>
    </row>
    <row r="1107" spans="1:3" x14ac:dyDescent="0.25">
      <c r="A1107" t="s">
        <v>513</v>
      </c>
      <c r="B1107" t="s">
        <v>514</v>
      </c>
      <c r="C1107" t="s">
        <v>477</v>
      </c>
    </row>
    <row r="1108" spans="1:3" x14ac:dyDescent="0.25">
      <c r="A1108" t="s">
        <v>516</v>
      </c>
      <c r="B1108">
        <v>2.48</v>
      </c>
    </row>
    <row r="1109" spans="1:3" x14ac:dyDescent="0.25">
      <c r="A1109" t="s">
        <v>525</v>
      </c>
      <c r="B1109">
        <v>2.48</v>
      </c>
    </row>
    <row r="1110" spans="1:3" x14ac:dyDescent="0.25">
      <c r="A1110" t="s">
        <v>526</v>
      </c>
      <c r="B1110">
        <v>2.5299999999999998</v>
      </c>
    </row>
    <row r="1111" spans="1:3" x14ac:dyDescent="0.25">
      <c r="A1111" t="s">
        <v>527</v>
      </c>
      <c r="B1111">
        <v>2.36</v>
      </c>
    </row>
    <row r="1112" spans="1:3" x14ac:dyDescent="0.25">
      <c r="A1112" t="s">
        <v>528</v>
      </c>
      <c r="B1112" s="21">
        <v>741338</v>
      </c>
    </row>
    <row r="1113" spans="1:3" x14ac:dyDescent="0.25">
      <c r="A1113" t="s">
        <v>529</v>
      </c>
      <c r="B1113" t="s">
        <v>606</v>
      </c>
    </row>
    <row r="1114" spans="1:3" x14ac:dyDescent="0.25">
      <c r="A1114" t="s">
        <v>530</v>
      </c>
      <c r="B1114">
        <v>0</v>
      </c>
    </row>
    <row r="1115" spans="1:3" x14ac:dyDescent="0.25">
      <c r="A1115" t="s">
        <v>531</v>
      </c>
      <c r="B1115" s="21" t="s">
        <v>532</v>
      </c>
    </row>
    <row r="1116" spans="1:3" x14ac:dyDescent="0.25">
      <c r="A1116" t="s">
        <v>533</v>
      </c>
      <c r="B1116">
        <v>0</v>
      </c>
    </row>
    <row r="1117" spans="1:3" x14ac:dyDescent="0.25">
      <c r="A1117" t="s">
        <v>534</v>
      </c>
      <c r="B1117" t="s">
        <v>532</v>
      </c>
    </row>
    <row r="1118" spans="1:3" x14ac:dyDescent="0.25">
      <c r="A1118" t="s">
        <v>535</v>
      </c>
      <c r="B1118">
        <v>3.23</v>
      </c>
    </row>
    <row r="1119" spans="1:3" x14ac:dyDescent="0.25">
      <c r="A1119" t="s">
        <v>536</v>
      </c>
      <c r="B1119">
        <v>0.81</v>
      </c>
    </row>
    <row r="1120" spans="1:3" x14ac:dyDescent="0.25">
      <c r="A1120" t="s">
        <v>537</v>
      </c>
      <c r="B1120" t="s">
        <v>532</v>
      </c>
    </row>
    <row r="1121" spans="1:3" x14ac:dyDescent="0.25">
      <c r="A1121" t="s">
        <v>520</v>
      </c>
      <c r="B1121" t="s">
        <v>532</v>
      </c>
    </row>
    <row r="1123" spans="1:3" x14ac:dyDescent="0.25">
      <c r="A1123" t="s">
        <v>513</v>
      </c>
      <c r="B1123" t="s">
        <v>514</v>
      </c>
      <c r="C1123" t="s">
        <v>478</v>
      </c>
    </row>
    <row r="1124" spans="1:3" x14ac:dyDescent="0.25">
      <c r="A1124" t="s">
        <v>516</v>
      </c>
      <c r="B1124">
        <v>39.14</v>
      </c>
    </row>
    <row r="1125" spans="1:3" x14ac:dyDescent="0.25">
      <c r="A1125" t="s">
        <v>525</v>
      </c>
      <c r="B1125">
        <v>38.76</v>
      </c>
    </row>
    <row r="1126" spans="1:3" x14ac:dyDescent="0.25">
      <c r="A1126" t="s">
        <v>526</v>
      </c>
      <c r="B1126">
        <v>39.08</v>
      </c>
    </row>
    <row r="1127" spans="1:3" x14ac:dyDescent="0.25">
      <c r="A1127" t="s">
        <v>527</v>
      </c>
      <c r="B1127">
        <v>38.33</v>
      </c>
    </row>
    <row r="1128" spans="1:3" x14ac:dyDescent="0.25">
      <c r="A1128" t="s">
        <v>528</v>
      </c>
      <c r="B1128" s="21" t="s">
        <v>605</v>
      </c>
    </row>
    <row r="1129" spans="1:3" x14ac:dyDescent="0.25">
      <c r="A1129" t="s">
        <v>529</v>
      </c>
      <c r="B1129" s="22" t="s">
        <v>562</v>
      </c>
    </row>
    <row r="1130" spans="1:3" x14ac:dyDescent="0.25">
      <c r="A1130" t="s">
        <v>530</v>
      </c>
      <c r="B1130">
        <v>0</v>
      </c>
    </row>
    <row r="1131" spans="1:3" x14ac:dyDescent="0.25">
      <c r="A1131" t="s">
        <v>531</v>
      </c>
      <c r="B1131" t="s">
        <v>532</v>
      </c>
    </row>
    <row r="1132" spans="1:3" x14ac:dyDescent="0.25">
      <c r="A1132" t="s">
        <v>533</v>
      </c>
      <c r="B1132">
        <v>0</v>
      </c>
    </row>
    <row r="1133" spans="1:3" x14ac:dyDescent="0.25">
      <c r="A1133" t="s">
        <v>534</v>
      </c>
      <c r="B1133" t="s">
        <v>532</v>
      </c>
    </row>
    <row r="1134" spans="1:3" x14ac:dyDescent="0.25">
      <c r="A1134" t="s">
        <v>535</v>
      </c>
      <c r="B1134">
        <v>77.8</v>
      </c>
    </row>
    <row r="1135" spans="1:3" x14ac:dyDescent="0.25">
      <c r="A1135" t="s">
        <v>536</v>
      </c>
      <c r="B1135">
        <v>36.380000000000003</v>
      </c>
    </row>
    <row r="1136" spans="1:3" x14ac:dyDescent="0.25">
      <c r="A1136" t="s">
        <v>537</v>
      </c>
      <c r="B1136" t="s">
        <v>532</v>
      </c>
    </row>
    <row r="1137" spans="1:3" x14ac:dyDescent="0.25">
      <c r="A1137" t="s">
        <v>520</v>
      </c>
      <c r="B1137" t="s">
        <v>532</v>
      </c>
    </row>
    <row r="1139" spans="1:3" x14ac:dyDescent="0.25">
      <c r="A1139" t="s">
        <v>513</v>
      </c>
      <c r="B1139" t="s">
        <v>514</v>
      </c>
      <c r="C1139" t="s">
        <v>511</v>
      </c>
    </row>
    <row r="1140" spans="1:3" x14ac:dyDescent="0.25">
      <c r="A1140" t="s">
        <v>516</v>
      </c>
      <c r="B1140">
        <v>40.99</v>
      </c>
    </row>
    <row r="1141" spans="1:3" x14ac:dyDescent="0.25">
      <c r="A1141" t="s">
        <v>525</v>
      </c>
      <c r="B1141">
        <v>41.05</v>
      </c>
    </row>
    <row r="1142" spans="1:3" x14ac:dyDescent="0.25">
      <c r="A1142" t="s">
        <v>526</v>
      </c>
      <c r="B1142">
        <v>42.25</v>
      </c>
    </row>
    <row r="1143" spans="1:3" x14ac:dyDescent="0.25">
      <c r="A1143" t="s">
        <v>527</v>
      </c>
      <c r="B1143">
        <v>40.56</v>
      </c>
    </row>
    <row r="1144" spans="1:3" x14ac:dyDescent="0.25">
      <c r="A1144" t="s">
        <v>528</v>
      </c>
      <c r="B1144" s="21">
        <v>232791</v>
      </c>
    </row>
    <row r="1145" spans="1:3" x14ac:dyDescent="0.25">
      <c r="A1145" t="s">
        <v>529</v>
      </c>
      <c r="B1145" s="22">
        <v>274677.82</v>
      </c>
    </row>
    <row r="1146" spans="1:3" x14ac:dyDescent="0.25">
      <c r="A1146" t="s">
        <v>530</v>
      </c>
      <c r="B1146">
        <v>0</v>
      </c>
    </row>
    <row r="1147" spans="1:3" x14ac:dyDescent="0.25">
      <c r="A1147" t="s">
        <v>531</v>
      </c>
      <c r="B1147" t="s">
        <v>532</v>
      </c>
    </row>
    <row r="1148" spans="1:3" x14ac:dyDescent="0.25">
      <c r="A1148" t="s">
        <v>533</v>
      </c>
      <c r="B1148">
        <v>0</v>
      </c>
    </row>
    <row r="1149" spans="1:3" x14ac:dyDescent="0.25">
      <c r="A1149" t="s">
        <v>534</v>
      </c>
      <c r="B1149" t="s">
        <v>532</v>
      </c>
    </row>
    <row r="1150" spans="1:3" x14ac:dyDescent="0.25">
      <c r="A1150" t="s">
        <v>535</v>
      </c>
      <c r="B1150">
        <v>47.85</v>
      </c>
    </row>
    <row r="1151" spans="1:3" x14ac:dyDescent="0.25">
      <c r="A1151" t="s">
        <v>536</v>
      </c>
      <c r="B1151">
        <v>14.07</v>
      </c>
    </row>
    <row r="1152" spans="1:3" x14ac:dyDescent="0.25">
      <c r="A1152" t="s">
        <v>537</v>
      </c>
      <c r="B1152" t="s">
        <v>532</v>
      </c>
    </row>
    <row r="1153" spans="1:3" x14ac:dyDescent="0.25">
      <c r="A1153" t="s">
        <v>520</v>
      </c>
      <c r="B1153" t="s">
        <v>532</v>
      </c>
    </row>
    <row r="1155" spans="1:3" x14ac:dyDescent="0.25">
      <c r="A1155" t="s">
        <v>513</v>
      </c>
      <c r="B1155" t="s">
        <v>514</v>
      </c>
      <c r="C1155" t="s">
        <v>512</v>
      </c>
    </row>
    <row r="1156" spans="1:3" x14ac:dyDescent="0.25">
      <c r="A1156" t="s">
        <v>516</v>
      </c>
      <c r="B1156">
        <v>13.16</v>
      </c>
    </row>
    <row r="1157" spans="1:3" x14ac:dyDescent="0.25">
      <c r="A1157" t="s">
        <v>525</v>
      </c>
      <c r="B1157">
        <v>13.03</v>
      </c>
    </row>
    <row r="1158" spans="1:3" x14ac:dyDescent="0.25">
      <c r="A1158" t="s">
        <v>526</v>
      </c>
      <c r="B1158">
        <v>13.35</v>
      </c>
    </row>
    <row r="1159" spans="1:3" x14ac:dyDescent="0.25">
      <c r="A1159" t="s">
        <v>527</v>
      </c>
      <c r="B1159">
        <v>12.97</v>
      </c>
    </row>
    <row r="1160" spans="1:3" x14ac:dyDescent="0.25">
      <c r="A1160" t="s">
        <v>528</v>
      </c>
      <c r="B1160" s="21">
        <v>884111</v>
      </c>
    </row>
    <row r="1161" spans="1:3" x14ac:dyDescent="0.25">
      <c r="A1161" t="s">
        <v>529</v>
      </c>
      <c r="B1161" s="22">
        <v>777379.16</v>
      </c>
    </row>
    <row r="1162" spans="1:3" x14ac:dyDescent="0.25">
      <c r="A1162" t="s">
        <v>530</v>
      </c>
      <c r="B1162">
        <v>0</v>
      </c>
    </row>
    <row r="1163" spans="1:3" x14ac:dyDescent="0.25">
      <c r="A1163" t="s">
        <v>531</v>
      </c>
      <c r="B1163" t="s">
        <v>532</v>
      </c>
    </row>
    <row r="1164" spans="1:3" x14ac:dyDescent="0.25">
      <c r="A1164" t="s">
        <v>533</v>
      </c>
      <c r="B1164">
        <v>0</v>
      </c>
    </row>
    <row r="1165" spans="1:3" x14ac:dyDescent="0.25">
      <c r="A1165" t="s">
        <v>534</v>
      </c>
      <c r="B1165" t="s">
        <v>532</v>
      </c>
    </row>
    <row r="1166" spans="1:3" x14ac:dyDescent="0.25">
      <c r="A1166" t="s">
        <v>535</v>
      </c>
      <c r="B1166">
        <v>14.47</v>
      </c>
    </row>
    <row r="1167" spans="1:3" x14ac:dyDescent="0.25">
      <c r="A1167" t="s">
        <v>536</v>
      </c>
      <c r="B1167">
        <v>8.4600000000000009</v>
      </c>
    </row>
    <row r="1168" spans="1:3" x14ac:dyDescent="0.25">
      <c r="A1168" t="s">
        <v>537</v>
      </c>
      <c r="B1168" t="s">
        <v>532</v>
      </c>
    </row>
    <row r="1169" spans="1:3" x14ac:dyDescent="0.25">
      <c r="A1169" t="s">
        <v>520</v>
      </c>
      <c r="B1169" t="s">
        <v>532</v>
      </c>
    </row>
    <row r="1171" spans="1:3" x14ac:dyDescent="0.25">
      <c r="A1171" t="s">
        <v>513</v>
      </c>
      <c r="B1171" t="s">
        <v>514</v>
      </c>
      <c r="C1171" t="s">
        <v>27</v>
      </c>
    </row>
    <row r="1172" spans="1:3" x14ac:dyDescent="0.25">
      <c r="A1172" t="s">
        <v>516</v>
      </c>
      <c r="B1172">
        <v>16.399999999999999</v>
      </c>
    </row>
    <row r="1173" spans="1:3" x14ac:dyDescent="0.25">
      <c r="A1173" t="s">
        <v>525</v>
      </c>
      <c r="B1173">
        <v>16.399999999999999</v>
      </c>
    </row>
    <row r="1174" spans="1:3" x14ac:dyDescent="0.25">
      <c r="A1174" t="s">
        <v>526</v>
      </c>
      <c r="B1174">
        <v>16.399999999999999</v>
      </c>
    </row>
    <row r="1175" spans="1:3" x14ac:dyDescent="0.25">
      <c r="A1175" t="s">
        <v>527</v>
      </c>
      <c r="B1175">
        <v>16.399999999999999</v>
      </c>
    </row>
    <row r="1176" spans="1:3" x14ac:dyDescent="0.25">
      <c r="A1176" t="s">
        <v>528</v>
      </c>
      <c r="B1176">
        <v>100</v>
      </c>
    </row>
    <row r="1177" spans="1:3" x14ac:dyDescent="0.25">
      <c r="A1177" t="s">
        <v>529</v>
      </c>
      <c r="B1177" t="s">
        <v>532</v>
      </c>
    </row>
    <row r="1178" spans="1:3" x14ac:dyDescent="0.25">
      <c r="A1178" t="s">
        <v>530</v>
      </c>
      <c r="B1178">
        <v>0</v>
      </c>
    </row>
    <row r="1179" spans="1:3" x14ac:dyDescent="0.25">
      <c r="A1179" t="s">
        <v>531</v>
      </c>
      <c r="B1179" s="21" t="s">
        <v>532</v>
      </c>
    </row>
    <row r="1180" spans="1:3" x14ac:dyDescent="0.25">
      <c r="A1180" t="s">
        <v>533</v>
      </c>
      <c r="B1180">
        <v>0</v>
      </c>
    </row>
    <row r="1181" spans="1:3" x14ac:dyDescent="0.25">
      <c r="A1181" t="s">
        <v>534</v>
      </c>
      <c r="B1181" t="s">
        <v>532</v>
      </c>
    </row>
    <row r="1182" spans="1:3" x14ac:dyDescent="0.25">
      <c r="A1182" t="s">
        <v>535</v>
      </c>
      <c r="B1182">
        <v>22.05</v>
      </c>
    </row>
    <row r="1183" spans="1:3" x14ac:dyDescent="0.25">
      <c r="A1183" t="s">
        <v>536</v>
      </c>
      <c r="B1183">
        <v>7.8</v>
      </c>
    </row>
    <row r="1184" spans="1:3" x14ac:dyDescent="0.25">
      <c r="A1184" t="s">
        <v>537</v>
      </c>
      <c r="B1184" t="s">
        <v>532</v>
      </c>
    </row>
    <row r="1185" spans="1:3" x14ac:dyDescent="0.25">
      <c r="A1185" t="s">
        <v>520</v>
      </c>
      <c r="B1185" t="s">
        <v>532</v>
      </c>
    </row>
    <row r="1187" spans="1:3" x14ac:dyDescent="0.25">
      <c r="A1187" t="s">
        <v>513</v>
      </c>
      <c r="B1187" t="s">
        <v>514</v>
      </c>
      <c r="C1187" t="s">
        <v>564</v>
      </c>
    </row>
    <row r="1188" spans="1:3" x14ac:dyDescent="0.25">
      <c r="A1188" t="s">
        <v>516</v>
      </c>
      <c r="B1188">
        <v>184.66</v>
      </c>
    </row>
    <row r="1189" spans="1:3" x14ac:dyDescent="0.25">
      <c r="A1189" t="s">
        <v>525</v>
      </c>
      <c r="B1189">
        <v>184.28</v>
      </c>
    </row>
    <row r="1190" spans="1:3" x14ac:dyDescent="0.25">
      <c r="A1190" t="s">
        <v>526</v>
      </c>
      <c r="B1190">
        <v>184.66</v>
      </c>
    </row>
    <row r="1191" spans="1:3" x14ac:dyDescent="0.25">
      <c r="A1191" t="s">
        <v>527</v>
      </c>
      <c r="B1191">
        <v>183.83</v>
      </c>
    </row>
    <row r="1192" spans="1:3" x14ac:dyDescent="0.25">
      <c r="A1192" t="s">
        <v>528</v>
      </c>
      <c r="B1192" t="s">
        <v>587</v>
      </c>
    </row>
    <row r="1193" spans="1:3" x14ac:dyDescent="0.25">
      <c r="A1193" t="s">
        <v>530</v>
      </c>
      <c r="B1193">
        <v>184.1</v>
      </c>
    </row>
    <row r="1194" spans="1:3" x14ac:dyDescent="0.25">
      <c r="A1194" t="s">
        <v>531</v>
      </c>
      <c r="B1194" s="21">
        <v>2500</v>
      </c>
    </row>
    <row r="1195" spans="1:3" x14ac:dyDescent="0.25">
      <c r="A1195" t="s">
        <v>533</v>
      </c>
      <c r="B1195">
        <v>184.14</v>
      </c>
    </row>
    <row r="1196" spans="1:3" x14ac:dyDescent="0.25">
      <c r="A1196" t="s">
        <v>534</v>
      </c>
      <c r="B1196" s="21">
        <v>15500</v>
      </c>
    </row>
    <row r="1197" spans="1:3" x14ac:dyDescent="0.25">
      <c r="A1197" t="s">
        <v>535</v>
      </c>
      <c r="B1197">
        <v>184.94</v>
      </c>
    </row>
    <row r="1198" spans="1:3" x14ac:dyDescent="0.25">
      <c r="A1198" t="s">
        <v>536</v>
      </c>
      <c r="B1198">
        <v>146.61000000000001</v>
      </c>
    </row>
    <row r="1199" spans="1:3" x14ac:dyDescent="0.25">
      <c r="A1199" t="s">
        <v>554</v>
      </c>
      <c r="B1199">
        <v>1</v>
      </c>
    </row>
    <row r="1200" spans="1:3" x14ac:dyDescent="0.25">
      <c r="A1200" t="s">
        <v>555</v>
      </c>
      <c r="B1200">
        <v>0.06</v>
      </c>
    </row>
    <row r="1201" spans="1:3" x14ac:dyDescent="0.25">
      <c r="A1201" t="s">
        <v>556</v>
      </c>
      <c r="B1201">
        <v>-0.02</v>
      </c>
    </row>
    <row r="1202" spans="1:3" x14ac:dyDescent="0.25">
      <c r="A1202" t="s">
        <v>557</v>
      </c>
      <c r="B1202" s="2">
        <v>33991</v>
      </c>
    </row>
    <row r="1203" spans="1:3" x14ac:dyDescent="0.25">
      <c r="A1203" t="s">
        <v>558</v>
      </c>
      <c r="B1203" t="s">
        <v>588</v>
      </c>
    </row>
    <row r="1205" spans="1:3" x14ac:dyDescent="0.25">
      <c r="A1205" t="s">
        <v>513</v>
      </c>
      <c r="B1205" t="s">
        <v>514</v>
      </c>
      <c r="C1205" t="s">
        <v>583</v>
      </c>
    </row>
    <row r="1206" spans="1:3" x14ac:dyDescent="0.25">
      <c r="A1206" t="s">
        <v>516</v>
      </c>
      <c r="B1206">
        <v>6.27</v>
      </c>
    </row>
    <row r="1207" spans="1:3" x14ac:dyDescent="0.25">
      <c r="A1207" t="s">
        <v>525</v>
      </c>
      <c r="B1207">
        <v>6.27</v>
      </c>
    </row>
    <row r="1208" spans="1:3" x14ac:dyDescent="0.25">
      <c r="A1208" t="s">
        <v>526</v>
      </c>
      <c r="B1208">
        <v>6.42</v>
      </c>
    </row>
    <row r="1209" spans="1:3" x14ac:dyDescent="0.25">
      <c r="A1209" t="s">
        <v>527</v>
      </c>
      <c r="B1209">
        <v>6.22</v>
      </c>
    </row>
    <row r="1210" spans="1:3" x14ac:dyDescent="0.25">
      <c r="A1210" t="s">
        <v>528</v>
      </c>
      <c r="B1210" s="21">
        <v>55351</v>
      </c>
    </row>
    <row r="1211" spans="1:3" x14ac:dyDescent="0.25">
      <c r="A1211" t="s">
        <v>529</v>
      </c>
      <c r="B1211" s="21">
        <v>107730.64</v>
      </c>
    </row>
    <row r="1212" spans="1:3" x14ac:dyDescent="0.25">
      <c r="A1212" t="s">
        <v>530</v>
      </c>
      <c r="B1212">
        <v>0</v>
      </c>
    </row>
    <row r="1213" spans="1:3" x14ac:dyDescent="0.25">
      <c r="A1213" t="s">
        <v>531</v>
      </c>
      <c r="B1213" s="21" t="s">
        <v>532</v>
      </c>
    </row>
    <row r="1214" spans="1:3" x14ac:dyDescent="0.25">
      <c r="A1214" t="s">
        <v>533</v>
      </c>
      <c r="B1214">
        <v>0</v>
      </c>
    </row>
    <row r="1215" spans="1:3" x14ac:dyDescent="0.25">
      <c r="A1215" t="s">
        <v>534</v>
      </c>
      <c r="B1215" s="21" t="s">
        <v>532</v>
      </c>
    </row>
    <row r="1216" spans="1:3" x14ac:dyDescent="0.25">
      <c r="A1216" t="s">
        <v>535</v>
      </c>
      <c r="B1216">
        <v>6.87</v>
      </c>
    </row>
    <row r="1217" spans="1:2" x14ac:dyDescent="0.25">
      <c r="A1217" t="s">
        <v>536</v>
      </c>
      <c r="B1217">
        <v>4.75</v>
      </c>
    </row>
    <row r="1218" spans="1:2" x14ac:dyDescent="0.25">
      <c r="A1218" t="s">
        <v>537</v>
      </c>
      <c r="B1218" t="s">
        <v>532</v>
      </c>
    </row>
    <row r="1219" spans="1:2" x14ac:dyDescent="0.25">
      <c r="A1219" t="s">
        <v>520</v>
      </c>
      <c r="B1219" t="s">
        <v>532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76</vt:i4>
      </vt:variant>
    </vt:vector>
  </HeadingPairs>
  <TitlesOfParts>
    <vt:vector size="79" baseType="lpstr">
      <vt:lpstr>Scorecard</vt:lpstr>
      <vt:lpstr>Chart of cash invested</vt:lpstr>
      <vt:lpstr>Data (ignore)</vt:lpstr>
      <vt:lpstr>'Data (ignore)'!_?symbol_fxa_ocid_qbeb</vt:lpstr>
      <vt:lpstr>'Data (ignore)'!_?symbol_fxc_ocid_qbeb</vt:lpstr>
      <vt:lpstr>'Data (ignore)'!_?symbol_fxe_ocid_qbeb</vt:lpstr>
      <vt:lpstr>'Data (ignore)'!_?symbol_fxf_ocid_qbeb</vt:lpstr>
      <vt:lpstr>'Data (ignore)'!_?symbol_fxy_ocid_qbeb</vt:lpstr>
      <vt:lpstr>'Data (ignore)'!_?symbol_gld_ocid_qbeb</vt:lpstr>
      <vt:lpstr>'Data (ignore)'!_?symbol_prgsx_ocid_qbeb</vt:lpstr>
      <vt:lpstr>'Data (ignore)'!_?symbol_slv_ocid_qbeb</vt:lpstr>
      <vt:lpstr>'Data (ignore)'!_?symbol_spy_ocid_qbeb</vt:lpstr>
      <vt:lpstr>'Data (ignore)'!_?symbol_vgsix_ocid_qbeb</vt:lpstr>
      <vt:lpstr>'Data (ignore)'!stock_price?Symbol_aln_ocid_qbeb</vt:lpstr>
      <vt:lpstr>'Data (ignore)'!stock_price?Symbol_alu_ocid_qbeb</vt:lpstr>
      <vt:lpstr>'Data (ignore)'!stock_price?Symbol_an_ocid_qbeb</vt:lpstr>
      <vt:lpstr>'Data (ignore)'!stock_price?Symbol_apc_ocid_qbeb</vt:lpstr>
      <vt:lpstr>'Data (ignore)'!stock_price?Symbol_axp_ocid_qbeb</vt:lpstr>
      <vt:lpstr>'Data (ignore)'!stock_price?Symbol_bfs_ocid_qbeb</vt:lpstr>
      <vt:lpstr>'Data (ignore)'!stock_price?Symbol_bkutk_ocid_qbeb</vt:lpstr>
      <vt:lpstr>'Data (ignore)'!stock_price?Symbol_boref_ocid_qbeb</vt:lpstr>
      <vt:lpstr>'Data (ignore)'!stock_price?Symbol_bth_ocid_qbeb</vt:lpstr>
      <vt:lpstr>'Data (ignore)'!stock_price?Symbol_bx_ocid_qbeb</vt:lpstr>
      <vt:lpstr>'Data (ignore)'!stock_price?Symbol_c_ocid_qbeb</vt:lpstr>
      <vt:lpstr>'Data (ignore)'!stock_price?Symbol_cbrx_ocid_qbeb_1</vt:lpstr>
      <vt:lpstr>'Data (ignore)'!stock_price?Symbol_cisg_ocid_qbeb</vt:lpstr>
      <vt:lpstr>'Data (ignore)'!stock_price?symbol_cmlp_ocid_qbeb</vt:lpstr>
      <vt:lpstr>'Data (ignore)'!stock_price?Symbol_cvv_ocid_qbeb</vt:lpstr>
      <vt:lpstr>'Data (ignore)'!stock_price?Symbol_dcth_ocid_qbeb</vt:lpstr>
      <vt:lpstr>'Data (ignore)'!stock_price?Symbol_dd_ocid_qbeb</vt:lpstr>
      <vt:lpstr>'Data (ignore)'!stock_price?Symbol_depo_ocid_qbeb</vt:lpstr>
      <vt:lpstr>'Data (ignore)'!stock_price?Symbol_dvax_ocid_qbeb</vt:lpstr>
      <vt:lpstr>'Data (ignore)'!stock_price?Symbol_emis_ocid_qbeb</vt:lpstr>
      <vt:lpstr>'Data (ignore)'!stock_price?Symbol_emis_ocid_qbeb_1</vt:lpstr>
      <vt:lpstr>'Data (ignore)'!stock_price?Symbol_epd_ocid_qbeb</vt:lpstr>
      <vt:lpstr>'Data (ignore)'!stock_price?Symbol_etrm_ocid_qbeb</vt:lpstr>
      <vt:lpstr>'Data (ignore)'!stock_price?Symbol_fgp_ocid_qbeb</vt:lpstr>
      <vt:lpstr>'Data (ignore)'!stock_price?Symbol_fmd_ocid_qbeb</vt:lpstr>
      <vt:lpstr>'Data (ignore)'!stock_price?Symbol_gd_ocid_qbeb</vt:lpstr>
      <vt:lpstr>'Data (ignore)'!stock_price?Symbol_ge_ocid_qbeb</vt:lpstr>
      <vt:lpstr>'Data (ignore)'!stock_price?Symbol_gldd_ocid_qbeb</vt:lpstr>
      <vt:lpstr>'Data (ignore)'!stock_price?Symbol_hmc_ocid_qbeb</vt:lpstr>
      <vt:lpstr>'Data (ignore)'!stock_price?Symbol_infu_ocid_qbeb</vt:lpstr>
      <vt:lpstr>'Data (ignore)'!stock_price?Symbol_jnj_ocid_qbeb</vt:lpstr>
      <vt:lpstr>'Data (ignore)'!stock_price?Symbol_jnpr_ocid_qbeb</vt:lpstr>
      <vt:lpstr>'Data (ignore)'!stock_price?Symbol_jny_ocid_qbeb</vt:lpstr>
      <vt:lpstr>'Data (ignore)'!stock_price?Symbol_kf_ocid_qbeb</vt:lpstr>
      <vt:lpstr>'Data (ignore)'!stock_price?Symbol_kmp_ocid_qbeb</vt:lpstr>
      <vt:lpstr>'Data (ignore)'!stock_price?Symbol_kyth_ocid_qbeb</vt:lpstr>
      <vt:lpstr>'Data (ignore)'!stock_price?Symbol_mck_ocid_qbeb</vt:lpstr>
      <vt:lpstr>'Data (ignore)'!stock_price?Symbol_mrk_ocid_qbeb</vt:lpstr>
      <vt:lpstr>'Data (ignore)'!stock_price?Symbol_mrtx_ocid_qbeb</vt:lpstr>
      <vt:lpstr>'Data (ignore)'!stock_price?Symbol_msft_ocid_qbeb</vt:lpstr>
      <vt:lpstr>'Data (ignore)'!stock_price?Symbol_mvc_ocid_qbeb</vt:lpstr>
      <vt:lpstr>'Data (ignore)'!stock_price?Symbol_mwe_ocid_qbeb</vt:lpstr>
      <vt:lpstr>'Data (ignore)'!stock_price?Symbol_ncr_ocid_qbeb</vt:lpstr>
      <vt:lpstr>'Data (ignore)'!stock_price?Symbol_nktr_ocid_qbeb</vt:lpstr>
      <vt:lpstr>'Data (ignore)'!stock_price?Symbol_npk_ocid_qbeb</vt:lpstr>
      <vt:lpstr>'Data (ignore)'!stock_price?Symbol_npsp_ocid_qbeb</vt:lpstr>
      <vt:lpstr>'Data (ignore)'!stock_price?Symbol_ntii_ocid_qbeb</vt:lpstr>
      <vt:lpstr>'Data (ignore)'!stock_price?Symbol_oks_ocid_qbeb</vt:lpstr>
      <vt:lpstr>'Data (ignore)'!stock_price?Symbol_paa_ocid_qbeb</vt:lpstr>
      <vt:lpstr>'Data (ignore)'!stock_price?Symbol_pars_ocid_qbeb</vt:lpstr>
      <vt:lpstr>'Data (ignore)'!stock_price?Symbol_pcg_ocid_qbeb</vt:lpstr>
      <vt:lpstr>'Data (ignore)'!stock_price?Symbol_pcl_ocid_qbeb</vt:lpstr>
      <vt:lpstr>'Data (ignore)'!stock_price?Symbol_pvr_ocid_qbeb</vt:lpstr>
      <vt:lpstr>'Data (ignore)'!stock_price?Symbol_roic_ocid_qbeb</vt:lpstr>
      <vt:lpstr>'Data (ignore)'!stock_price?Symbol_roicw_ocid_qbeb</vt:lpstr>
      <vt:lpstr>'Data (ignore)'!stock_price?Symbol_siga_ocid_qbeb</vt:lpstr>
      <vt:lpstr>'Data (ignore)'!stock_price?Symbol_smbc_ocid_qbeb</vt:lpstr>
      <vt:lpstr>'Data (ignore)'!stock_price?Symbol_sne_ocid_qbeb</vt:lpstr>
      <vt:lpstr>'Data (ignore)'!stock_price?Symbol_soda_ocid_qbeb</vt:lpstr>
      <vt:lpstr>'Data (ignore)'!stock_price?Symbol_too_ocid_qbeb</vt:lpstr>
      <vt:lpstr>'Data (ignore)'!stock_price?Symbol_ttnp_ocid_qbeb</vt:lpstr>
      <vt:lpstr>'Data (ignore)'!stock_price?Symbol_usb_ocid_qbeb</vt:lpstr>
      <vt:lpstr>'Data (ignore)'!stock_price?Symbol_vno_ocid_qbeb</vt:lpstr>
      <vt:lpstr>'Data (ignore)'!stock_price?Symbol_vz_ocid_qbeb</vt:lpstr>
      <vt:lpstr>'Data (ignore)'!stock_price?Symbol_wfc_ocid_qbeb</vt:lpstr>
      <vt:lpstr>'Data (ignore)'!stock_price?Symbol_wmt_ocid_qbeb</vt:lpstr>
    </vt:vector>
  </TitlesOfParts>
  <Company>Barkers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Johnson</dc:creator>
  <cp:lastModifiedBy>Andy</cp:lastModifiedBy>
  <dcterms:created xsi:type="dcterms:W3CDTF">2010-08-05T20:22:47Z</dcterms:created>
  <dcterms:modified xsi:type="dcterms:W3CDTF">2014-01-17T04:56:23Z</dcterms:modified>
</cp:coreProperties>
</file>