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4235" windowHeight="7170"/>
  </bookViews>
  <sheets>
    <sheet name="Scorecard" sheetId="1" r:id="rId1"/>
    <sheet name="Data (ignore)" sheetId="4" state="hidden" r:id="rId2"/>
  </sheets>
  <definedNames>
    <definedName name="_?symbol_fxa_ocid_qbeb" localSheetId="1">'Data (ignore)'!$A$565:$B$581</definedName>
    <definedName name="_?symbol_fxc_ocid_qbeb" localSheetId="1">'Data (ignore)'!$A$583:$B$599</definedName>
    <definedName name="_?symbol_fxe_ocid_qbeb" localSheetId="1">'Data (ignore)'!$A$601:$B$617</definedName>
    <definedName name="_?symbol_fxf_ocid_qbeb" localSheetId="1">'Data (ignore)'!$A$619:$B$635</definedName>
    <definedName name="_?symbol_fxy_ocid_qbeb" localSheetId="1">'Data (ignore)'!$A$637:$B$653</definedName>
    <definedName name="_?symbol_gld_ocid_qbeb" localSheetId="1">'Data (ignore)'!$A$689:$B$705</definedName>
    <definedName name="_?symbol_prgsx_ocid_qbeb" localSheetId="1">'Data (ignore)'!$A$1:$B$8</definedName>
    <definedName name="_?symbol_slv_ocid_qbeb" localSheetId="1">'Data (ignore)'!$A$671:$B$687</definedName>
    <definedName name="_?symbol_spy_ocid_qbeb" localSheetId="1">'Data (ignore)'!$A$1187:$B$1203</definedName>
    <definedName name="_?symbol_vgsix_ocid_qbeb" localSheetId="1">'Data (ignore)'!$A$122:$B$129</definedName>
    <definedName name="ExternalData_1" localSheetId="0">Scorecard!#REF!</definedName>
    <definedName name="stock_price?Symbol_aln_ocid_qbeb" localSheetId="1">'Data (ignore)'!$A$803:$B$817</definedName>
    <definedName name="stock_price?Symbol_alu_ocid_qbeb" localSheetId="1">'Data (ignore)'!$A$963:$B$977</definedName>
    <definedName name="stock_price?Symbol_an_ocid_qbeb" localSheetId="1">'Data (ignore)'!$A$227:$B$241</definedName>
    <definedName name="stock_price?Symbol_apc_ocid_qbeb" localSheetId="1">'Data (ignore)'!$A$403:$B$417</definedName>
    <definedName name="stock_price?Symbol_axp_ocid_qbeb" localSheetId="1">'Data (ignore)'!$A$723:$B$737</definedName>
    <definedName name="stock_price?Symbol_bfs_ocid_qbeb" localSheetId="1">'Data (ignore)'!$A$106:$B$120</definedName>
    <definedName name="stock_price?Symbol_bkutk_ocid_qbeb" localSheetId="1">'Data (ignore)'!$A$995:$B$1009</definedName>
    <definedName name="stock_price?Symbol_boref_ocid_qbeb" localSheetId="1">'Data (ignore)'!$A$1171:$B$1185</definedName>
    <definedName name="stock_price?Symbol_bth_ocid_qbeb" localSheetId="1">'Data (ignore)'!$A$26:$B$40</definedName>
    <definedName name="stock_price?Symbol_bx_ocid_qbeb" localSheetId="1">'Data (ignore)'!$A$515:$B$529</definedName>
    <definedName name="stock_price?Symbol_c_ocid_qbeb" localSheetId="1">'Data (ignore)'!$A$243:$B$257</definedName>
    <definedName name="stock_price?Symbol_cbrx_ocid_qbeb_1" localSheetId="1">'Data (ignore)'!$A$867:$B$881</definedName>
    <definedName name="stock_price?symbol_cmlp_ocid_qbeb" localSheetId="1">'Data (ignore)'!$A$1091:$B$1105</definedName>
    <definedName name="stock_price?Symbol_cvv_ocid_qbeb" localSheetId="1">'Data (ignore)'!$A$883:$B$897</definedName>
    <definedName name="stock_price?Symbol_dcth_ocid_qbeb" localSheetId="1">'Data (ignore)'!$A$819:$B$833</definedName>
    <definedName name="stock_price?Symbol_dd_ocid_qbeb" localSheetId="1">'Data (ignore)'!$A$435:$B$449</definedName>
    <definedName name="stock_price?Symbol_depo_ocid_qbeb" localSheetId="1">'Data (ignore)'!$A$771:$B$785</definedName>
    <definedName name="stock_price?Symbol_dvax_ocid_qbeb" localSheetId="1">'Data (ignore)'!$A$931:$B$945</definedName>
    <definedName name="stock_price?Symbol_emis_ocid_qbeb" localSheetId="1">'Data (ignore)'!$A$323:$B$337</definedName>
    <definedName name="stock_price?Symbol_emis_ocid_qbeb_1" localSheetId="1">'Data (ignore)'!$A$835:$B$849</definedName>
    <definedName name="stock_price?Symbol_epd_ocid_qbeb" localSheetId="1">'Data (ignore)'!$A$259:$B$273</definedName>
    <definedName name="stock_price?Symbol_etrm_ocid_qbeb" localSheetId="1">'Data (ignore)'!$A$1107:$B$1121</definedName>
    <definedName name="stock_price?Symbol_fgp_ocid_qbeb" localSheetId="1">'Data (ignore)'!$A$339:$B$353</definedName>
    <definedName name="stock_price?Symbol_fmd_ocid_qbeb" localSheetId="1">'Data (ignore)'!$A$483:$B$497</definedName>
    <definedName name="stock_price?Symbol_gd_ocid_qbeb" localSheetId="1">'Data (ignore)'!$A$42:$B$56</definedName>
    <definedName name="stock_price?Symbol_ge_ocid_qbeb" localSheetId="1">'Data (ignore)'!$A$451:$B$465</definedName>
    <definedName name="stock_price?Symbol_gldd_ocid_qbeb" localSheetId="1">'Data (ignore)'!$A$707:$B$721</definedName>
    <definedName name="stock_price?Symbol_hmc_ocid_qbeb" localSheetId="1">'Data (ignore)'!$A$195:$B$209</definedName>
    <definedName name="stock_price?Symbol_infu_ocid_qbeb" localSheetId="1">'Data (ignore)'!$A$787:$B$801</definedName>
    <definedName name="stock_price?Symbol_jnj_ocid_qbeb" localSheetId="1">'Data (ignore)'!$A$275:$B$289</definedName>
    <definedName name="stock_price?Symbol_jnpr_ocid_qbeb" localSheetId="1">'Data (ignore)'!$A$211:$B$225</definedName>
    <definedName name="stock_price?Symbol_jny_ocid_qbeb" localSheetId="1">'Data (ignore)'!$A$58:$B$72</definedName>
    <definedName name="stock_price?Symbol_kf_ocid_qbeb" localSheetId="1">'Data (ignore)'!$A$419:$B$433</definedName>
    <definedName name="stock_price?Symbol_kmp_ocid_qbeb" localSheetId="1">'Data (ignore)'!$A$655:$B$669</definedName>
    <definedName name="stock_price?Symbol_kyth_ocid_qbeb" localSheetId="1">'Data (ignore)'!$A$1139:$B$1153</definedName>
    <definedName name="stock_price?Symbol_mck_ocid_qbeb" localSheetId="1">'Data (ignore)'!$A$147:$B$161</definedName>
    <definedName name="stock_price?Symbol_mrk_ocid_qbeb" localSheetId="1">'Data (ignore)'!$A$291:$B$305</definedName>
    <definedName name="stock_price?Symbol_mrtx_ocid_qbeb" localSheetId="1">'Data (ignore)'!$A$899:$B$913</definedName>
    <definedName name="stock_price?Symbol_msft_ocid_qbeb" localSheetId="1">'Data (ignore)'!$A$131:$B$145</definedName>
    <definedName name="stock_price?Symbol_mvc_ocid_qbeb" localSheetId="1">'Data (ignore)'!$A$179:$B$193</definedName>
    <definedName name="stock_price?Symbol_mwe_ocid_qbeb" localSheetId="1">'Data (ignore)'!$A$1043:$B$1057</definedName>
    <definedName name="stock_price?Symbol_ncr_ocid_qbeb" localSheetId="1">'Data (ignore)'!$A$10:$B$24</definedName>
    <definedName name="stock_price?Symbol_nktr_ocid_qbeb" localSheetId="1">'Data (ignore)'!$A$1155:$B$1169</definedName>
    <definedName name="stock_price?Symbol_npk_ocid_qbeb" localSheetId="1">'Data (ignore)'!$A$163:$B$177</definedName>
    <definedName name="stock_price?Symbol_npsp_ocid_qbeb" localSheetId="1">'Data (ignore)'!$A$851:$B$865</definedName>
    <definedName name="stock_price?Symbol_ntii_ocid_qbeb" localSheetId="1">'Data (ignore)'!$A$307:$B$321</definedName>
    <definedName name="stock_price?Symbol_oks_ocid_qbeb" localSheetId="1">'Data (ignore)'!$A$1027:$B$1041</definedName>
    <definedName name="stock_price?Symbol_paa_ocid_qbeb" localSheetId="1">'Data (ignore)'!$A$1011:$B$1025</definedName>
    <definedName name="stock_price?Symbol_pars_ocid_qbeb" localSheetId="1">'Data (ignore)'!$A$755:$B$769</definedName>
    <definedName name="stock_price?Symbol_pcg_ocid_qbeb" localSheetId="1">'Data (ignore)'!$A$355:$B$369</definedName>
    <definedName name="stock_price?Symbol_pcl_ocid_qbeb" localSheetId="1">'Data (ignore)'!$A$387:$B$401</definedName>
    <definedName name="stock_price?Symbol_pvr_ocid_qbeb" localSheetId="1">'Data (ignore)'!$A$1059:$B$1073</definedName>
    <definedName name="stock_price?Symbol_roic_ocid_qbeb" localSheetId="1">'Data (ignore)'!$A$549:$B$563</definedName>
    <definedName name="stock_price?Symbol_roicw_ocid_qbeb" localSheetId="1">'Data (ignore)'!$A$531:$B$545</definedName>
    <definedName name="stock_price?Symbol_siga_ocid_qbeb" localSheetId="1">'Data (ignore)'!$A$947:$B$961</definedName>
    <definedName name="stock_price?Symbol_smbc_ocid_qbeb" localSheetId="1">'Data (ignore)'!$A$979:$B$993</definedName>
    <definedName name="stock_price?Symbol_sne_ocid_qbeb" localSheetId="1">'Data (ignore)'!$A$371:$B$385</definedName>
    <definedName name="stock_price?Symbol_soda_ocid_qbeb" localSheetId="1">'Data (ignore)'!$A$1123:$B$1137</definedName>
    <definedName name="stock_price?Symbol_too_ocid_qbeb" localSheetId="1">'Data (ignore)'!$A$1075:$B$1089</definedName>
    <definedName name="stock_price?Symbol_ttnp_ocid_qbeb" localSheetId="1">'Data (ignore)'!$A$915:$B$929</definedName>
    <definedName name="stock_price?Symbol_usb_ocid_qbeb" localSheetId="1">'Data (ignore)'!$A$74:$B$88</definedName>
    <definedName name="stock_price?Symbol_vno_ocid_qbeb" localSheetId="1">'Data (ignore)'!$A$90:$B$104</definedName>
    <definedName name="stock_price?Symbol_vz_ocid_qbeb" localSheetId="1">'Data (ignore)'!$A$499:$B$513</definedName>
    <definedName name="stock_price?Symbol_wfc_ocid_qbeb" localSheetId="1">'Data (ignore)'!$A$739:$B$753</definedName>
    <definedName name="stock_price?Symbol_wmt_ocid_qbeb" localSheetId="1">'Data (ignore)'!$A$467:$B$481</definedName>
  </definedNames>
  <calcPr calcId="145621" concurrentCalc="0"/>
</workbook>
</file>

<file path=xl/calcChain.xml><?xml version="1.0" encoding="utf-8"?>
<calcChain xmlns="http://schemas.openxmlformats.org/spreadsheetml/2006/main">
  <c r="Z17" i="1" l="1"/>
  <c r="I7" i="1"/>
  <c r="I12" i="1"/>
  <c r="I501" i="1"/>
  <c r="I215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3" i="1"/>
  <c r="K480" i="1"/>
  <c r="K479" i="1"/>
  <c r="K478" i="1"/>
  <c r="K477" i="1"/>
  <c r="K476" i="1"/>
  <c r="K475" i="1"/>
  <c r="K474" i="1"/>
  <c r="K471" i="1"/>
  <c r="K470" i="1"/>
  <c r="K469" i="1"/>
  <c r="K468" i="1"/>
  <c r="K467" i="1"/>
  <c r="K466" i="1"/>
  <c r="K465" i="1"/>
  <c r="K463" i="1"/>
  <c r="K459" i="1"/>
  <c r="K457" i="1"/>
  <c r="K456" i="1"/>
  <c r="K455" i="1"/>
  <c r="K454" i="1"/>
  <c r="K453" i="1"/>
  <c r="K452" i="1"/>
  <c r="K445" i="1"/>
  <c r="K442" i="1"/>
  <c r="K438" i="1"/>
  <c r="K437" i="1"/>
  <c r="K435" i="1"/>
  <c r="K434" i="1"/>
  <c r="K433" i="1"/>
  <c r="K432" i="1"/>
  <c r="K431" i="1"/>
  <c r="K430" i="1"/>
  <c r="K429" i="1"/>
  <c r="K428" i="1"/>
  <c r="K427" i="1"/>
  <c r="K425" i="1"/>
  <c r="K423" i="1"/>
  <c r="K422" i="1"/>
  <c r="K421" i="1"/>
  <c r="K417" i="1"/>
  <c r="K413" i="1"/>
  <c r="K412" i="1"/>
  <c r="K411" i="1"/>
  <c r="K410" i="1"/>
  <c r="K409" i="1"/>
  <c r="K406" i="1"/>
  <c r="K402" i="1"/>
  <c r="K401" i="1"/>
  <c r="K400" i="1"/>
  <c r="K399" i="1"/>
  <c r="K398" i="1"/>
  <c r="K397" i="1"/>
  <c r="K396" i="1"/>
  <c r="K393" i="1"/>
  <c r="K392" i="1"/>
  <c r="K391" i="1"/>
  <c r="K390" i="1"/>
  <c r="K389" i="1"/>
  <c r="K388" i="1"/>
  <c r="K387" i="1"/>
  <c r="K385" i="1"/>
  <c r="K384" i="1"/>
  <c r="K380" i="1"/>
  <c r="K379" i="1"/>
  <c r="K376" i="1"/>
  <c r="K375" i="1"/>
  <c r="K371" i="1"/>
  <c r="K368" i="1"/>
  <c r="K364" i="1"/>
  <c r="K363" i="1"/>
  <c r="K359" i="1"/>
  <c r="K358" i="1"/>
  <c r="K356" i="1"/>
  <c r="K355" i="1"/>
  <c r="K354" i="1"/>
  <c r="K352" i="1"/>
  <c r="K351" i="1"/>
  <c r="K349" i="1"/>
  <c r="K348" i="1"/>
  <c r="K347" i="1"/>
  <c r="K345" i="1"/>
  <c r="K344" i="1"/>
  <c r="K343" i="1"/>
  <c r="K342" i="1"/>
  <c r="K340" i="1"/>
  <c r="K337" i="1"/>
  <c r="K336" i="1"/>
  <c r="K330" i="1"/>
  <c r="K328" i="1"/>
  <c r="K327" i="1"/>
  <c r="K323" i="1"/>
  <c r="K322" i="1"/>
  <c r="K321" i="1"/>
  <c r="K320" i="1"/>
  <c r="K319" i="1"/>
  <c r="K318" i="1"/>
  <c r="K317" i="1"/>
  <c r="K316" i="1"/>
  <c r="K315" i="1"/>
  <c r="K314" i="1"/>
  <c r="K312" i="1"/>
  <c r="K306" i="1"/>
  <c r="K305" i="1"/>
  <c r="K304" i="1"/>
  <c r="K17" i="1"/>
  <c r="K18" i="1"/>
  <c r="K25" i="1"/>
  <c r="K27" i="1"/>
  <c r="K28" i="1"/>
  <c r="K29" i="1"/>
  <c r="K30" i="1"/>
  <c r="K31" i="1"/>
  <c r="K32" i="1"/>
  <c r="K33" i="1"/>
  <c r="K35" i="1"/>
  <c r="K36" i="1"/>
  <c r="K40" i="1"/>
  <c r="K41" i="1"/>
  <c r="K43" i="1"/>
  <c r="K49" i="1"/>
  <c r="K50" i="1"/>
  <c r="K53" i="1"/>
  <c r="K55" i="1"/>
  <c r="K57" i="1"/>
  <c r="K58" i="1"/>
  <c r="K60" i="1"/>
  <c r="K61" i="1"/>
  <c r="K62" i="1"/>
  <c r="K64" i="1"/>
  <c r="K56" i="1"/>
  <c r="K65" i="1"/>
  <c r="K67" i="1"/>
  <c r="K68" i="1"/>
  <c r="N76" i="1"/>
  <c r="K77" i="1"/>
  <c r="K81" i="1"/>
  <c r="K84" i="1"/>
  <c r="K88" i="1"/>
  <c r="K89" i="1"/>
  <c r="K91" i="1"/>
  <c r="K69" i="1"/>
  <c r="K92" i="1"/>
  <c r="K93" i="1"/>
  <c r="K97" i="1"/>
  <c r="K103" i="1"/>
  <c r="K104" i="1"/>
  <c r="K110" i="1"/>
  <c r="K111" i="1"/>
  <c r="K112" i="1"/>
  <c r="K113" i="1"/>
  <c r="K114" i="1"/>
  <c r="K119" i="1"/>
  <c r="K115" i="1"/>
  <c r="K122" i="1"/>
  <c r="K130" i="1"/>
  <c r="K140" i="1"/>
  <c r="K123" i="1"/>
  <c r="K141" i="1"/>
  <c r="K142" i="1"/>
  <c r="K145" i="1"/>
  <c r="K135" i="1"/>
  <c r="K148" i="1"/>
  <c r="K150" i="1"/>
  <c r="K144" i="1"/>
  <c r="K151" i="1"/>
  <c r="K158" i="1"/>
  <c r="K169" i="1"/>
  <c r="K170" i="1"/>
  <c r="K178" i="1"/>
  <c r="K179" i="1"/>
  <c r="K180" i="1"/>
  <c r="K182" i="1"/>
  <c r="K176" i="1"/>
  <c r="K183" i="1"/>
  <c r="K184" i="1"/>
  <c r="K188" i="1"/>
  <c r="K189" i="1"/>
  <c r="K191" i="1"/>
  <c r="K192" i="1"/>
  <c r="K193" i="1"/>
  <c r="K172" i="1"/>
  <c r="K196" i="1"/>
  <c r="K198" i="1"/>
  <c r="K199" i="1"/>
  <c r="K200" i="1"/>
  <c r="K201" i="1"/>
  <c r="K202" i="1"/>
  <c r="K203" i="1"/>
  <c r="K204" i="1"/>
  <c r="K205" i="1"/>
  <c r="K190" i="1"/>
  <c r="K181" i="1"/>
  <c r="K206" i="1"/>
  <c r="K207" i="1"/>
  <c r="K208" i="1"/>
  <c r="K209" i="1"/>
  <c r="K211" i="1"/>
  <c r="K212" i="1"/>
  <c r="N197" i="1"/>
  <c r="K138" i="1"/>
  <c r="K134" i="1"/>
  <c r="K146" i="1"/>
  <c r="K124" i="1"/>
  <c r="K155" i="1"/>
  <c r="K187" i="1"/>
  <c r="N499" i="1"/>
  <c r="E499" i="1"/>
  <c r="G499" i="1"/>
  <c r="N498" i="1"/>
  <c r="E498" i="1"/>
  <c r="G498" i="1"/>
  <c r="N497" i="1"/>
  <c r="E497" i="1"/>
  <c r="G497" i="1"/>
  <c r="N496" i="1"/>
  <c r="E496" i="1"/>
  <c r="G496" i="1"/>
  <c r="I496" i="1"/>
  <c r="N495" i="1"/>
  <c r="E495" i="1"/>
  <c r="G495" i="1"/>
  <c r="I495" i="1"/>
  <c r="N494" i="1"/>
  <c r="E494" i="1"/>
  <c r="G494" i="1"/>
  <c r="I494" i="1"/>
  <c r="N493" i="1"/>
  <c r="E493" i="1"/>
  <c r="G493" i="1"/>
  <c r="I493" i="1"/>
  <c r="N492" i="1"/>
  <c r="E492" i="1"/>
  <c r="G492" i="1"/>
  <c r="I492" i="1"/>
  <c r="N491" i="1"/>
  <c r="E491" i="1"/>
  <c r="G491" i="1"/>
  <c r="I491" i="1"/>
  <c r="N490" i="1"/>
  <c r="E490" i="1"/>
  <c r="G490" i="1"/>
  <c r="I490" i="1"/>
  <c r="M490" i="1"/>
  <c r="N489" i="1"/>
  <c r="G489" i="1"/>
  <c r="I489" i="1"/>
  <c r="E489" i="1"/>
  <c r="N488" i="1"/>
  <c r="E488" i="1"/>
  <c r="G488" i="1"/>
  <c r="I488" i="1"/>
  <c r="M488" i="1"/>
  <c r="N487" i="1"/>
  <c r="E487" i="1"/>
  <c r="G487" i="1"/>
  <c r="I487" i="1"/>
  <c r="N486" i="1"/>
  <c r="E486" i="1"/>
  <c r="G486" i="1"/>
  <c r="I486" i="1"/>
  <c r="M486" i="1"/>
  <c r="N485" i="1"/>
  <c r="E485" i="1"/>
  <c r="G485" i="1"/>
  <c r="I485" i="1"/>
  <c r="N484" i="1"/>
  <c r="E484" i="1"/>
  <c r="G484" i="1"/>
  <c r="I484" i="1"/>
  <c r="M484" i="1"/>
  <c r="N483" i="1"/>
  <c r="E483" i="1"/>
  <c r="G483" i="1"/>
  <c r="I483" i="1"/>
  <c r="N482" i="1"/>
  <c r="G482" i="1"/>
  <c r="I482" i="1"/>
  <c r="E482" i="1"/>
  <c r="N481" i="1"/>
  <c r="G481" i="1"/>
  <c r="I481" i="1"/>
  <c r="E481" i="1"/>
  <c r="N480" i="1"/>
  <c r="E480" i="1"/>
  <c r="G480" i="1"/>
  <c r="I480" i="1"/>
  <c r="M480" i="1"/>
  <c r="O480" i="1"/>
  <c r="N479" i="1"/>
  <c r="G479" i="1"/>
  <c r="I479" i="1"/>
  <c r="E479" i="1"/>
  <c r="N478" i="1"/>
  <c r="E478" i="1"/>
  <c r="G478" i="1"/>
  <c r="I478" i="1"/>
  <c r="M478" i="1"/>
  <c r="O478" i="1"/>
  <c r="N477" i="1"/>
  <c r="E477" i="1"/>
  <c r="G477" i="1"/>
  <c r="I477" i="1"/>
  <c r="N476" i="1"/>
  <c r="E476" i="1"/>
  <c r="G476" i="1"/>
  <c r="I476" i="1"/>
  <c r="N475" i="1"/>
  <c r="E475" i="1"/>
  <c r="G475" i="1"/>
  <c r="I475" i="1"/>
  <c r="M475" i="1"/>
  <c r="N474" i="1"/>
  <c r="E474" i="1"/>
  <c r="G474" i="1"/>
  <c r="I474" i="1"/>
  <c r="N473" i="1"/>
  <c r="E473" i="1"/>
  <c r="G473" i="1"/>
  <c r="I473" i="1"/>
  <c r="N472" i="1"/>
  <c r="E472" i="1"/>
  <c r="G472" i="1"/>
  <c r="I472" i="1"/>
  <c r="N471" i="1"/>
  <c r="E471" i="1"/>
  <c r="G471" i="1"/>
  <c r="I471" i="1"/>
  <c r="N470" i="1"/>
  <c r="E470" i="1"/>
  <c r="G470" i="1"/>
  <c r="I470" i="1"/>
  <c r="N469" i="1"/>
  <c r="G469" i="1"/>
  <c r="I469" i="1"/>
  <c r="E469" i="1"/>
  <c r="N468" i="1"/>
  <c r="G468" i="1"/>
  <c r="I468" i="1"/>
  <c r="N467" i="1"/>
  <c r="G467" i="1"/>
  <c r="I467" i="1"/>
  <c r="N466" i="1"/>
  <c r="G466" i="1"/>
  <c r="I466" i="1"/>
  <c r="N465" i="1"/>
  <c r="G465" i="1"/>
  <c r="I465" i="1"/>
  <c r="N464" i="1"/>
  <c r="G464" i="1"/>
  <c r="I464" i="1"/>
  <c r="N463" i="1"/>
  <c r="E463" i="1"/>
  <c r="G463" i="1"/>
  <c r="I463" i="1"/>
  <c r="M463" i="1"/>
  <c r="N462" i="1"/>
  <c r="G462" i="1"/>
  <c r="I462" i="1"/>
  <c r="N461" i="1"/>
  <c r="E461" i="1"/>
  <c r="G461" i="1"/>
  <c r="I461" i="1"/>
  <c r="N460" i="1"/>
  <c r="G460" i="1"/>
  <c r="I460" i="1"/>
  <c r="N459" i="1"/>
  <c r="G459" i="1"/>
  <c r="I459" i="1"/>
  <c r="G458" i="1"/>
  <c r="I458" i="1"/>
  <c r="E458" i="1"/>
  <c r="N457" i="1"/>
  <c r="E457" i="1"/>
  <c r="G457" i="1"/>
  <c r="I457" i="1"/>
  <c r="M457" i="1"/>
  <c r="O457" i="1"/>
  <c r="N456" i="1"/>
  <c r="E456" i="1"/>
  <c r="G456" i="1"/>
  <c r="I456" i="1"/>
  <c r="N455" i="1"/>
  <c r="E455" i="1"/>
  <c r="G455" i="1"/>
  <c r="I455" i="1"/>
  <c r="N454" i="1"/>
  <c r="E454" i="1"/>
  <c r="G454" i="1"/>
  <c r="I454" i="1"/>
  <c r="M454" i="1"/>
  <c r="O454" i="1"/>
  <c r="N453" i="1"/>
  <c r="G453" i="1"/>
  <c r="I453" i="1"/>
  <c r="E453" i="1"/>
  <c r="N452" i="1"/>
  <c r="E452" i="1"/>
  <c r="G452" i="1"/>
  <c r="I452" i="1"/>
  <c r="M452" i="1"/>
  <c r="O452" i="1"/>
  <c r="N451" i="1"/>
  <c r="E451" i="1"/>
  <c r="G451" i="1"/>
  <c r="I451" i="1"/>
  <c r="N450" i="1"/>
  <c r="E450" i="1"/>
  <c r="G450" i="1"/>
  <c r="I450" i="1"/>
  <c r="M450" i="1"/>
  <c r="N449" i="1"/>
  <c r="G449" i="1"/>
  <c r="I449" i="1"/>
  <c r="E449" i="1"/>
  <c r="N448" i="1"/>
  <c r="G448" i="1"/>
  <c r="I448" i="1"/>
  <c r="N447" i="1"/>
  <c r="G447" i="1"/>
  <c r="I447" i="1"/>
  <c r="N446" i="1"/>
  <c r="G446" i="1"/>
  <c r="I446" i="1"/>
  <c r="N445" i="1"/>
  <c r="G445" i="1"/>
  <c r="I445" i="1"/>
  <c r="N444" i="1"/>
  <c r="G444" i="1"/>
  <c r="I444" i="1"/>
  <c r="N443" i="1"/>
  <c r="E443" i="1"/>
  <c r="G443" i="1"/>
  <c r="I443" i="1"/>
  <c r="M443" i="1"/>
  <c r="N442" i="1"/>
  <c r="E442" i="1"/>
  <c r="G442" i="1"/>
  <c r="I442" i="1"/>
  <c r="N441" i="1"/>
  <c r="G441" i="1"/>
  <c r="I441" i="1"/>
  <c r="M441" i="1"/>
  <c r="E441" i="1"/>
  <c r="N440" i="1"/>
  <c r="G440" i="1"/>
  <c r="I440" i="1"/>
  <c r="E440" i="1"/>
  <c r="N439" i="1"/>
  <c r="E439" i="1"/>
  <c r="G439" i="1"/>
  <c r="I439" i="1"/>
  <c r="M439" i="1"/>
  <c r="N438" i="1"/>
  <c r="E438" i="1"/>
  <c r="G438" i="1"/>
  <c r="I438" i="1"/>
  <c r="N437" i="1"/>
  <c r="E437" i="1"/>
  <c r="G437" i="1"/>
  <c r="I437" i="1"/>
  <c r="N436" i="1"/>
  <c r="E436" i="1"/>
  <c r="G436" i="1"/>
  <c r="I436" i="1"/>
  <c r="N435" i="1"/>
  <c r="E435" i="1"/>
  <c r="G435" i="1"/>
  <c r="I435" i="1"/>
  <c r="M435" i="1"/>
  <c r="O435" i="1"/>
  <c r="N434" i="1"/>
  <c r="E434" i="1"/>
  <c r="G434" i="1"/>
  <c r="I434" i="1"/>
  <c r="N433" i="1"/>
  <c r="E433" i="1"/>
  <c r="G433" i="1"/>
  <c r="I433" i="1"/>
  <c r="M433" i="1"/>
  <c r="O433" i="1"/>
  <c r="N432" i="1"/>
  <c r="E432" i="1"/>
  <c r="G432" i="1"/>
  <c r="I432" i="1"/>
  <c r="N431" i="1"/>
  <c r="E431" i="1"/>
  <c r="G431" i="1"/>
  <c r="I431" i="1"/>
  <c r="N430" i="1"/>
  <c r="E430" i="1"/>
  <c r="G430" i="1"/>
  <c r="I430" i="1"/>
  <c r="N429" i="1"/>
  <c r="E429" i="1"/>
  <c r="G429" i="1"/>
  <c r="I429" i="1"/>
  <c r="N428" i="1"/>
  <c r="E428" i="1"/>
  <c r="G428" i="1"/>
  <c r="I428" i="1"/>
  <c r="N427" i="1"/>
  <c r="E427" i="1"/>
  <c r="G427" i="1"/>
  <c r="I427" i="1"/>
  <c r="N426" i="1"/>
  <c r="G426" i="1"/>
  <c r="I426" i="1"/>
  <c r="M426" i="1"/>
  <c r="E426" i="1"/>
  <c r="N425" i="1"/>
  <c r="E425" i="1"/>
  <c r="G425" i="1"/>
  <c r="I425" i="1"/>
  <c r="N424" i="1"/>
  <c r="G424" i="1"/>
  <c r="I424" i="1"/>
  <c r="E424" i="1"/>
  <c r="N423" i="1"/>
  <c r="G423" i="1"/>
  <c r="I423" i="1"/>
  <c r="E423" i="1"/>
  <c r="N422" i="1"/>
  <c r="G422" i="1"/>
  <c r="I422" i="1"/>
  <c r="N421" i="1"/>
  <c r="G421" i="1"/>
  <c r="I421" i="1"/>
  <c r="N420" i="1"/>
  <c r="G420" i="1"/>
  <c r="I420" i="1"/>
  <c r="N419" i="1"/>
  <c r="G419" i="1"/>
  <c r="I419" i="1"/>
  <c r="N418" i="1"/>
  <c r="E418" i="1"/>
  <c r="G418" i="1"/>
  <c r="I418" i="1"/>
  <c r="M418" i="1"/>
  <c r="N417" i="1"/>
  <c r="E417" i="1"/>
  <c r="G417" i="1"/>
  <c r="I417" i="1"/>
  <c r="N416" i="1"/>
  <c r="E416" i="1"/>
  <c r="G416" i="1"/>
  <c r="I416" i="1"/>
  <c r="N415" i="1"/>
  <c r="E415" i="1"/>
  <c r="G415" i="1"/>
  <c r="I415" i="1"/>
  <c r="N414" i="1"/>
  <c r="E414" i="1"/>
  <c r="G414" i="1"/>
  <c r="I414" i="1"/>
  <c r="N413" i="1"/>
  <c r="E413" i="1"/>
  <c r="G413" i="1"/>
  <c r="I413" i="1"/>
  <c r="M413" i="1"/>
  <c r="N412" i="1"/>
  <c r="E412" i="1"/>
  <c r="G412" i="1"/>
  <c r="I412" i="1"/>
  <c r="N411" i="1"/>
  <c r="E411" i="1"/>
  <c r="G411" i="1"/>
  <c r="I411" i="1"/>
  <c r="M411" i="1"/>
  <c r="O411" i="1"/>
  <c r="N410" i="1"/>
  <c r="E410" i="1"/>
  <c r="G410" i="1"/>
  <c r="I410" i="1"/>
  <c r="N409" i="1"/>
  <c r="E409" i="1"/>
  <c r="G409" i="1"/>
  <c r="I409" i="1"/>
  <c r="N408" i="1"/>
  <c r="E408" i="1"/>
  <c r="G408" i="1"/>
  <c r="I408" i="1"/>
  <c r="N407" i="1"/>
  <c r="E407" i="1"/>
  <c r="G407" i="1"/>
  <c r="I407" i="1"/>
  <c r="M407" i="1"/>
  <c r="N406" i="1"/>
  <c r="E406" i="1"/>
  <c r="G406" i="1"/>
  <c r="I406" i="1"/>
  <c r="N405" i="1"/>
  <c r="G405" i="1"/>
  <c r="I405" i="1"/>
  <c r="E405" i="1"/>
  <c r="N404" i="1"/>
  <c r="G404" i="1"/>
  <c r="I404" i="1"/>
  <c r="E404" i="1"/>
  <c r="N403" i="1"/>
  <c r="G403" i="1"/>
  <c r="I403" i="1"/>
  <c r="E403" i="1"/>
  <c r="N402" i="1"/>
  <c r="E402" i="1"/>
  <c r="G402" i="1"/>
  <c r="I402" i="1"/>
  <c r="M402" i="1"/>
  <c r="O402" i="1"/>
  <c r="N401" i="1"/>
  <c r="E401" i="1"/>
  <c r="G401" i="1"/>
  <c r="I401" i="1"/>
  <c r="N400" i="1"/>
  <c r="E400" i="1"/>
  <c r="G400" i="1"/>
  <c r="I400" i="1"/>
  <c r="N399" i="1"/>
  <c r="E399" i="1"/>
  <c r="G399" i="1"/>
  <c r="I399" i="1"/>
  <c r="M399" i="1"/>
  <c r="N398" i="1"/>
  <c r="E398" i="1"/>
  <c r="G398" i="1"/>
  <c r="I398" i="1"/>
  <c r="N397" i="1"/>
  <c r="E397" i="1"/>
  <c r="G397" i="1"/>
  <c r="I397" i="1"/>
  <c r="M397" i="1"/>
  <c r="N396" i="1"/>
  <c r="G396" i="1"/>
  <c r="I396" i="1"/>
  <c r="E396" i="1"/>
  <c r="N395" i="1"/>
  <c r="G395" i="1"/>
  <c r="I395" i="1"/>
  <c r="N394" i="1"/>
  <c r="K394" i="1"/>
  <c r="G394" i="1"/>
  <c r="I394" i="1"/>
  <c r="M394" i="1"/>
  <c r="E394" i="1"/>
  <c r="N393" i="1"/>
  <c r="E393" i="1"/>
  <c r="G393" i="1"/>
  <c r="I393" i="1"/>
  <c r="M393" i="1"/>
  <c r="O393" i="1"/>
  <c r="N392" i="1"/>
  <c r="E392" i="1"/>
  <c r="G392" i="1"/>
  <c r="I392" i="1"/>
  <c r="N391" i="1"/>
  <c r="E391" i="1"/>
  <c r="G391" i="1"/>
  <c r="I391" i="1"/>
  <c r="N390" i="1"/>
  <c r="G390" i="1"/>
  <c r="I390" i="1"/>
  <c r="E390" i="1"/>
  <c r="N389" i="1"/>
  <c r="E389" i="1"/>
  <c r="G389" i="1"/>
  <c r="I389" i="1"/>
  <c r="M389" i="1"/>
  <c r="N388" i="1"/>
  <c r="E388" i="1"/>
  <c r="G388" i="1"/>
  <c r="I388" i="1"/>
  <c r="N387" i="1"/>
  <c r="E387" i="1"/>
  <c r="G387" i="1"/>
  <c r="I387" i="1"/>
  <c r="M387" i="1"/>
  <c r="O387" i="1"/>
  <c r="N386" i="1"/>
  <c r="G386" i="1"/>
  <c r="I386" i="1"/>
  <c r="E386" i="1"/>
  <c r="N385" i="1"/>
  <c r="E385" i="1"/>
  <c r="G385" i="1"/>
  <c r="I385" i="1"/>
  <c r="N384" i="1"/>
  <c r="E384" i="1"/>
  <c r="G384" i="1"/>
  <c r="I384" i="1"/>
  <c r="M384" i="1"/>
  <c r="N383" i="1"/>
  <c r="G383" i="1"/>
  <c r="I383" i="1"/>
  <c r="E383" i="1"/>
  <c r="N382" i="1"/>
  <c r="G382" i="1"/>
  <c r="I382" i="1"/>
  <c r="E382" i="1"/>
  <c r="N381" i="1"/>
  <c r="G381" i="1"/>
  <c r="I381" i="1"/>
  <c r="E381" i="1"/>
  <c r="N380" i="1"/>
  <c r="E380" i="1"/>
  <c r="G380" i="1"/>
  <c r="I380" i="1"/>
  <c r="N379" i="1"/>
  <c r="E379" i="1"/>
  <c r="G379" i="1"/>
  <c r="I379" i="1"/>
  <c r="M379" i="1"/>
  <c r="N378" i="1"/>
  <c r="E378" i="1"/>
  <c r="G378" i="1"/>
  <c r="I378" i="1"/>
  <c r="M378" i="1"/>
  <c r="N377" i="1"/>
  <c r="E377" i="1"/>
  <c r="G377" i="1"/>
  <c r="I377" i="1"/>
  <c r="N376" i="1"/>
  <c r="E376" i="1"/>
  <c r="G376" i="1"/>
  <c r="I376" i="1"/>
  <c r="M376" i="1"/>
  <c r="O376" i="1"/>
  <c r="N375" i="1"/>
  <c r="E375" i="1"/>
  <c r="G375" i="1"/>
  <c r="I375" i="1"/>
  <c r="N374" i="1"/>
  <c r="E374" i="1"/>
  <c r="G374" i="1"/>
  <c r="I374" i="1"/>
  <c r="M374" i="1"/>
  <c r="N373" i="1"/>
  <c r="G373" i="1"/>
  <c r="I373" i="1"/>
  <c r="E373" i="1"/>
  <c r="N372" i="1"/>
  <c r="G372" i="1"/>
  <c r="I372" i="1"/>
  <c r="M372" i="1"/>
  <c r="E372" i="1"/>
  <c r="N371" i="1"/>
  <c r="E371" i="1"/>
  <c r="G371" i="1"/>
  <c r="I371" i="1"/>
  <c r="N370" i="1"/>
  <c r="G370" i="1"/>
  <c r="I370" i="1"/>
  <c r="N369" i="1"/>
  <c r="E369" i="1"/>
  <c r="G369" i="1"/>
  <c r="I369" i="1"/>
  <c r="M369" i="1"/>
  <c r="N368" i="1"/>
  <c r="P463" i="1"/>
  <c r="P490" i="1"/>
  <c r="P384" i="1"/>
  <c r="P389" i="1"/>
  <c r="P397" i="1"/>
  <c r="P475" i="1"/>
  <c r="P486" i="1"/>
  <c r="M373" i="1"/>
  <c r="P373" i="1"/>
  <c r="P379" i="1"/>
  <c r="M388" i="1"/>
  <c r="O388" i="1"/>
  <c r="P399" i="1"/>
  <c r="M406" i="1"/>
  <c r="O406" i="1"/>
  <c r="M428" i="1"/>
  <c r="O428" i="1"/>
  <c r="M442" i="1"/>
  <c r="P442" i="1"/>
  <c r="M455" i="1"/>
  <c r="P455" i="1"/>
  <c r="M481" i="1"/>
  <c r="O481" i="1"/>
  <c r="P488" i="1"/>
  <c r="M491" i="1"/>
  <c r="O491" i="1"/>
  <c r="M377" i="1"/>
  <c r="O377" i="1"/>
  <c r="M398" i="1"/>
  <c r="O398" i="1"/>
  <c r="M414" i="1"/>
  <c r="O414" i="1"/>
  <c r="M437" i="1"/>
  <c r="P437" i="1"/>
  <c r="M451" i="1"/>
  <c r="O451" i="1"/>
  <c r="M477" i="1"/>
  <c r="O477" i="1"/>
  <c r="M487" i="1"/>
  <c r="P487" i="1"/>
  <c r="I499" i="1"/>
  <c r="M499" i="1"/>
  <c r="O499" i="1"/>
  <c r="I498" i="1"/>
  <c r="M498" i="1"/>
  <c r="P498" i="1"/>
  <c r="O498" i="1"/>
  <c r="M370" i="1"/>
  <c r="P370" i="1"/>
  <c r="M371" i="1"/>
  <c r="P371" i="1"/>
  <c r="M375" i="1"/>
  <c r="O375" i="1"/>
  <c r="M380" i="1"/>
  <c r="O380" i="1"/>
  <c r="M390" i="1"/>
  <c r="P390" i="1"/>
  <c r="M395" i="1"/>
  <c r="P395" i="1"/>
  <c r="M396" i="1"/>
  <c r="O396" i="1"/>
  <c r="M400" i="1"/>
  <c r="O400" i="1"/>
  <c r="M412" i="1"/>
  <c r="O412" i="1"/>
  <c r="M419" i="1"/>
  <c r="P419" i="1"/>
  <c r="M420" i="1"/>
  <c r="P420" i="1"/>
  <c r="M421" i="1"/>
  <c r="O421" i="1"/>
  <c r="M422" i="1"/>
  <c r="O422" i="1"/>
  <c r="M423" i="1"/>
  <c r="O423" i="1"/>
  <c r="M434" i="1"/>
  <c r="O434" i="1"/>
  <c r="M440" i="1"/>
  <c r="O440" i="1"/>
  <c r="M444" i="1"/>
  <c r="P444" i="1"/>
  <c r="M445" i="1"/>
  <c r="O445" i="1"/>
  <c r="M446" i="1"/>
  <c r="P446" i="1"/>
  <c r="M447" i="1"/>
  <c r="P447" i="1"/>
  <c r="M448" i="1"/>
  <c r="P448" i="1"/>
  <c r="M449" i="1"/>
  <c r="O449" i="1"/>
  <c r="M453" i="1"/>
  <c r="P453" i="1"/>
  <c r="M458" i="1"/>
  <c r="P458" i="1"/>
  <c r="M459" i="1"/>
  <c r="O459" i="1"/>
  <c r="M460" i="1"/>
  <c r="P460" i="1"/>
  <c r="M462" i="1"/>
  <c r="P462" i="1"/>
  <c r="M464" i="1"/>
  <c r="O464" i="1"/>
  <c r="M465" i="1"/>
  <c r="P465" i="1"/>
  <c r="M466" i="1"/>
  <c r="P466" i="1"/>
  <c r="M467" i="1"/>
  <c r="P467" i="1"/>
  <c r="M468" i="1"/>
  <c r="P468" i="1"/>
  <c r="M469" i="1"/>
  <c r="O469" i="1"/>
  <c r="M479" i="1"/>
  <c r="O479" i="1"/>
  <c r="M482" i="1"/>
  <c r="P482" i="1"/>
  <c r="M489" i="1"/>
  <c r="O489" i="1"/>
  <c r="E370" i="1"/>
  <c r="M385" i="1"/>
  <c r="P385" i="1"/>
  <c r="M386" i="1"/>
  <c r="P386" i="1"/>
  <c r="E395" i="1"/>
  <c r="M403" i="1"/>
  <c r="P403" i="1"/>
  <c r="M404" i="1"/>
  <c r="P404" i="1"/>
  <c r="M405" i="1"/>
  <c r="P405" i="1"/>
  <c r="E419" i="1"/>
  <c r="E420" i="1"/>
  <c r="E421" i="1"/>
  <c r="E422" i="1"/>
  <c r="M427" i="1"/>
  <c r="P427" i="1"/>
  <c r="M436" i="1"/>
  <c r="P436" i="1"/>
  <c r="E444" i="1"/>
  <c r="E445" i="1"/>
  <c r="E446" i="1"/>
  <c r="E447" i="1"/>
  <c r="E448" i="1"/>
  <c r="E459" i="1"/>
  <c r="E460" i="1"/>
  <c r="E462" i="1"/>
  <c r="E464" i="1"/>
  <c r="E465" i="1"/>
  <c r="E466" i="1"/>
  <c r="E467" i="1"/>
  <c r="E468" i="1"/>
  <c r="M476" i="1"/>
  <c r="P476" i="1"/>
  <c r="I497" i="1"/>
  <c r="O374" i="1"/>
  <c r="P374" i="1"/>
  <c r="P372" i="1"/>
  <c r="O372" i="1"/>
  <c r="P394" i="1"/>
  <c r="O394" i="1"/>
  <c r="P413" i="1"/>
  <c r="O413" i="1"/>
  <c r="P426" i="1"/>
  <c r="O426" i="1"/>
  <c r="P441" i="1"/>
  <c r="O441" i="1"/>
  <c r="P450" i="1"/>
  <c r="O450" i="1"/>
  <c r="O484" i="1"/>
  <c r="P484" i="1"/>
  <c r="P369" i="1"/>
  <c r="O369" i="1"/>
  <c r="O378" i="1"/>
  <c r="P378" i="1"/>
  <c r="O407" i="1"/>
  <c r="P407" i="1"/>
  <c r="P418" i="1"/>
  <c r="O418" i="1"/>
  <c r="P439" i="1"/>
  <c r="O439" i="1"/>
  <c r="P443" i="1"/>
  <c r="O443" i="1"/>
  <c r="O373" i="1"/>
  <c r="M381" i="1"/>
  <c r="P381" i="1"/>
  <c r="M382" i="1"/>
  <c r="P382" i="1"/>
  <c r="M383" i="1"/>
  <c r="P383" i="1"/>
  <c r="M391" i="1"/>
  <c r="P391" i="1"/>
  <c r="M392" i="1"/>
  <c r="P392" i="1"/>
  <c r="O395" i="1"/>
  <c r="M401" i="1"/>
  <c r="O401" i="1"/>
  <c r="M408" i="1"/>
  <c r="P408" i="1"/>
  <c r="M409" i="1"/>
  <c r="P409" i="1"/>
  <c r="M410" i="1"/>
  <c r="P410" i="1"/>
  <c r="P414" i="1"/>
  <c r="M415" i="1"/>
  <c r="M416" i="1"/>
  <c r="M417" i="1"/>
  <c r="P417" i="1"/>
  <c r="O419" i="1"/>
  <c r="M424" i="1"/>
  <c r="M425" i="1"/>
  <c r="O425" i="1"/>
  <c r="M429" i="1"/>
  <c r="P429" i="1"/>
  <c r="M430" i="1"/>
  <c r="P430" i="1"/>
  <c r="M431" i="1"/>
  <c r="O431" i="1"/>
  <c r="M432" i="1"/>
  <c r="P432" i="1"/>
  <c r="O436" i="1"/>
  <c r="M438" i="1"/>
  <c r="P438" i="1"/>
  <c r="P440" i="1"/>
  <c r="O446" i="1"/>
  <c r="O447" i="1"/>
  <c r="O448" i="1"/>
  <c r="P449" i="1"/>
  <c r="P451" i="1"/>
  <c r="M456" i="1"/>
  <c r="P456" i="1"/>
  <c r="O460" i="1"/>
  <c r="M461" i="1"/>
  <c r="O462" i="1"/>
  <c r="M470" i="1"/>
  <c r="O470" i="1"/>
  <c r="M471" i="1"/>
  <c r="O471" i="1"/>
  <c r="M472" i="1"/>
  <c r="O472" i="1"/>
  <c r="M473" i="1"/>
  <c r="O473" i="1"/>
  <c r="M474" i="1"/>
  <c r="O474" i="1"/>
  <c r="M483" i="1"/>
  <c r="P483" i="1"/>
  <c r="M485" i="1"/>
  <c r="O485" i="1"/>
  <c r="M492" i="1"/>
  <c r="O492" i="1"/>
  <c r="M493" i="1"/>
  <c r="O493" i="1"/>
  <c r="M494" i="1"/>
  <c r="O494" i="1"/>
  <c r="M495" i="1"/>
  <c r="O495" i="1"/>
  <c r="M496" i="1"/>
  <c r="P496" i="1"/>
  <c r="M497" i="1"/>
  <c r="O497" i="1"/>
  <c r="P481" i="1"/>
  <c r="O456" i="1"/>
  <c r="P377" i="1"/>
  <c r="O382" i="1"/>
  <c r="O403" i="1"/>
  <c r="O404" i="1"/>
  <c r="O405" i="1"/>
  <c r="O458" i="1"/>
  <c r="P464" i="1"/>
  <c r="P473" i="1"/>
  <c r="O466" i="1"/>
  <c r="P457" i="1"/>
  <c r="O465" i="1"/>
  <c r="P491" i="1"/>
  <c r="P380" i="1"/>
  <c r="P398" i="1"/>
  <c r="P402" i="1"/>
  <c r="P406" i="1"/>
  <c r="P434" i="1"/>
  <c r="P480" i="1"/>
  <c r="O496" i="1"/>
  <c r="P497" i="1"/>
  <c r="P494" i="1"/>
  <c r="O490" i="1"/>
  <c r="P489" i="1"/>
  <c r="O488" i="1"/>
  <c r="O487" i="1"/>
  <c r="O486" i="1"/>
  <c r="P485" i="1"/>
  <c r="P478" i="1"/>
  <c r="P477" i="1"/>
  <c r="O475" i="1"/>
  <c r="P474" i="1"/>
  <c r="P470" i="1"/>
  <c r="O463" i="1"/>
  <c r="P454" i="1"/>
  <c r="O453" i="1"/>
  <c r="P452" i="1"/>
  <c r="O442" i="1"/>
  <c r="O437" i="1"/>
  <c r="P435" i="1"/>
  <c r="P433" i="1"/>
  <c r="P428" i="1"/>
  <c r="P422" i="1"/>
  <c r="O417" i="1"/>
  <c r="P411" i="1"/>
  <c r="O399" i="1"/>
  <c r="O397" i="1"/>
  <c r="P393" i="1"/>
  <c r="O389" i="1"/>
  <c r="P388" i="1"/>
  <c r="P387" i="1"/>
  <c r="O384" i="1"/>
  <c r="O379" i="1"/>
  <c r="P376" i="1"/>
  <c r="G368" i="1"/>
  <c r="E368" i="1"/>
  <c r="G367" i="1"/>
  <c r="E367" i="1"/>
  <c r="N366" i="1"/>
  <c r="E366" i="1"/>
  <c r="G366" i="1"/>
  <c r="N365" i="1"/>
  <c r="E365" i="1"/>
  <c r="G365" i="1"/>
  <c r="I365" i="1"/>
  <c r="N364" i="1"/>
  <c r="E364" i="1"/>
  <c r="G364" i="1"/>
  <c r="N363" i="1"/>
  <c r="G363" i="1"/>
  <c r="E363" i="1"/>
  <c r="N362" i="1"/>
  <c r="G362" i="1"/>
  <c r="E362" i="1"/>
  <c r="N361" i="1"/>
  <c r="G361" i="1"/>
  <c r="E361" i="1"/>
  <c r="N360" i="1"/>
  <c r="G360" i="1"/>
  <c r="E360" i="1"/>
  <c r="N359" i="1"/>
  <c r="G359" i="1"/>
  <c r="E359" i="1"/>
  <c r="N358" i="1"/>
  <c r="E358" i="1"/>
  <c r="G358" i="1"/>
  <c r="G357" i="1"/>
  <c r="E357" i="1"/>
  <c r="N356" i="1"/>
  <c r="G356" i="1"/>
  <c r="E356" i="1"/>
  <c r="N355" i="1"/>
  <c r="E355" i="1"/>
  <c r="G355" i="1"/>
  <c r="N354" i="1"/>
  <c r="G354" i="1"/>
  <c r="E354" i="1"/>
  <c r="N353" i="1"/>
  <c r="G353" i="1"/>
  <c r="I353" i="1"/>
  <c r="M353" i="1"/>
  <c r="P353" i="1"/>
  <c r="E353" i="1"/>
  <c r="N352" i="1"/>
  <c r="G352" i="1"/>
  <c r="E352" i="1"/>
  <c r="N351" i="1"/>
  <c r="E351" i="1"/>
  <c r="G351" i="1"/>
  <c r="N350" i="1"/>
  <c r="E350" i="1"/>
  <c r="G350" i="1"/>
  <c r="N349" i="1"/>
  <c r="E349" i="1"/>
  <c r="G349" i="1"/>
  <c r="N348" i="1"/>
  <c r="G348" i="1"/>
  <c r="E348" i="1"/>
  <c r="N347" i="1"/>
  <c r="G347" i="1"/>
  <c r="E347" i="1"/>
  <c r="N346" i="1"/>
  <c r="G346" i="1"/>
  <c r="E346" i="1"/>
  <c r="N345" i="1"/>
  <c r="G345" i="1"/>
  <c r="E345" i="1"/>
  <c r="N344" i="1"/>
  <c r="E344" i="1"/>
  <c r="G344" i="1"/>
  <c r="N343" i="1"/>
  <c r="G343" i="1"/>
  <c r="E343" i="1"/>
  <c r="N342" i="1"/>
  <c r="G342" i="1"/>
  <c r="E342" i="1"/>
  <c r="N341" i="1"/>
  <c r="E341" i="1"/>
  <c r="G341" i="1"/>
  <c r="I341" i="1"/>
  <c r="N340" i="1"/>
  <c r="G340" i="1"/>
  <c r="E340" i="1"/>
  <c r="N339" i="1"/>
  <c r="G339" i="1"/>
  <c r="E339" i="1"/>
  <c r="N338" i="1"/>
  <c r="G338" i="1"/>
  <c r="E338" i="1"/>
  <c r="N337" i="1"/>
  <c r="G337" i="1"/>
  <c r="E337" i="1"/>
  <c r="N336" i="1"/>
  <c r="E336" i="1"/>
  <c r="G336" i="1"/>
  <c r="N335" i="1"/>
  <c r="G335" i="1"/>
  <c r="I335" i="1"/>
  <c r="N334" i="1"/>
  <c r="G334" i="1"/>
  <c r="I334" i="1"/>
  <c r="N333" i="1"/>
  <c r="E333" i="1"/>
  <c r="G333" i="1"/>
  <c r="I333" i="1"/>
  <c r="M333" i="1"/>
  <c r="N332" i="1"/>
  <c r="G332" i="1"/>
  <c r="I332" i="1"/>
  <c r="E332" i="1"/>
  <c r="N331" i="1"/>
  <c r="G331" i="1"/>
  <c r="I331" i="1"/>
  <c r="M331" i="1"/>
  <c r="E331" i="1"/>
  <c r="N330" i="1"/>
  <c r="G330" i="1"/>
  <c r="E330" i="1"/>
  <c r="N329" i="1"/>
  <c r="E329" i="1"/>
  <c r="G329" i="1"/>
  <c r="I329" i="1"/>
  <c r="M329" i="1"/>
  <c r="N328" i="1"/>
  <c r="E328" i="1"/>
  <c r="G328" i="1"/>
  <c r="N327" i="1"/>
  <c r="G327" i="1"/>
  <c r="E327" i="1"/>
  <c r="N326" i="1"/>
  <c r="G326" i="1"/>
  <c r="I326" i="1"/>
  <c r="E326" i="1"/>
  <c r="N325" i="1"/>
  <c r="E325" i="1"/>
  <c r="G325" i="1"/>
  <c r="N324" i="1"/>
  <c r="E324" i="1"/>
  <c r="G324" i="1"/>
  <c r="N323" i="1"/>
  <c r="G323" i="1"/>
  <c r="E323" i="1"/>
  <c r="N322" i="1"/>
  <c r="E322" i="1"/>
  <c r="G322" i="1"/>
  <c r="N321" i="1"/>
  <c r="G321" i="1"/>
  <c r="E321" i="1"/>
  <c r="N320" i="1"/>
  <c r="E320" i="1"/>
  <c r="G320" i="1"/>
  <c r="N319" i="1"/>
  <c r="G319" i="1"/>
  <c r="E319" i="1"/>
  <c r="N318" i="1"/>
  <c r="G318" i="1"/>
  <c r="E318" i="1"/>
  <c r="N317" i="1"/>
  <c r="E317" i="1"/>
  <c r="G317" i="1"/>
  <c r="N316" i="1"/>
  <c r="E316" i="1"/>
  <c r="G316" i="1"/>
  <c r="N315" i="1"/>
  <c r="E315" i="1"/>
  <c r="G315" i="1"/>
  <c r="N314" i="1"/>
  <c r="G314" i="1"/>
  <c r="E314" i="1"/>
  <c r="N313" i="1"/>
  <c r="G313" i="1"/>
  <c r="E313" i="1"/>
  <c r="N312" i="1"/>
  <c r="P421" i="1"/>
  <c r="P423" i="1"/>
  <c r="O371" i="1"/>
  <c r="O385" i="1"/>
  <c r="O427" i="1"/>
  <c r="O430" i="1"/>
  <c r="O455" i="1"/>
  <c r="P329" i="1"/>
  <c r="M332" i="1"/>
  <c r="O332" i="1"/>
  <c r="P400" i="1"/>
  <c r="P425" i="1"/>
  <c r="O432" i="1"/>
  <c r="O438" i="1"/>
  <c r="P445" i="1"/>
  <c r="O468" i="1"/>
  <c r="P479" i="1"/>
  <c r="M326" i="1"/>
  <c r="O326" i="1"/>
  <c r="M334" i="1"/>
  <c r="P334" i="1"/>
  <c r="M335" i="1"/>
  <c r="P335" i="1"/>
  <c r="E334" i="1"/>
  <c r="E335" i="1"/>
  <c r="O390" i="1"/>
  <c r="P396" i="1"/>
  <c r="O429" i="1"/>
  <c r="P431" i="1"/>
  <c r="P459" i="1"/>
  <c r="O467" i="1"/>
  <c r="P469" i="1"/>
  <c r="P471" i="1"/>
  <c r="O483" i="1"/>
  <c r="P375" i="1"/>
  <c r="O476" i="1"/>
  <c r="O482" i="1"/>
  <c r="O408" i="1"/>
  <c r="O383" i="1"/>
  <c r="O381" i="1"/>
  <c r="O444" i="1"/>
  <c r="O420" i="1"/>
  <c r="P412" i="1"/>
  <c r="O386" i="1"/>
  <c r="O370" i="1"/>
  <c r="O391" i="1"/>
  <c r="O410" i="1"/>
  <c r="P492" i="1"/>
  <c r="O392" i="1"/>
  <c r="P401" i="1"/>
  <c r="O409" i="1"/>
  <c r="P493" i="1"/>
  <c r="P495" i="1"/>
  <c r="P331" i="1"/>
  <c r="O331" i="1"/>
  <c r="P333" i="1"/>
  <c r="O333" i="1"/>
  <c r="O424" i="1"/>
  <c r="P424" i="1"/>
  <c r="O416" i="1"/>
  <c r="P416" i="1"/>
  <c r="P332" i="1"/>
  <c r="O334" i="1"/>
  <c r="O335" i="1"/>
  <c r="M341" i="1"/>
  <c r="M365" i="1"/>
  <c r="P472" i="1"/>
  <c r="P461" i="1"/>
  <c r="O461" i="1"/>
  <c r="O415" i="1"/>
  <c r="P415" i="1"/>
  <c r="P326" i="1"/>
  <c r="O329" i="1"/>
  <c r="O353" i="1"/>
  <c r="G312" i="1"/>
  <c r="E312" i="1"/>
  <c r="N311" i="1"/>
  <c r="G311" i="1"/>
  <c r="I311" i="1"/>
  <c r="E311" i="1"/>
  <c r="N310" i="1"/>
  <c r="G310" i="1"/>
  <c r="I310" i="1"/>
  <c r="N309" i="1"/>
  <c r="E309" i="1"/>
  <c r="G309" i="1"/>
  <c r="I309" i="1"/>
  <c r="M309" i="1"/>
  <c r="N308" i="1"/>
  <c r="G308" i="1"/>
  <c r="E308" i="1"/>
  <c r="N307" i="1"/>
  <c r="E307" i="1"/>
  <c r="G307" i="1"/>
  <c r="I307" i="1"/>
  <c r="M307" i="1"/>
  <c r="N306" i="1"/>
  <c r="G306" i="1"/>
  <c r="E306" i="1"/>
  <c r="N305" i="1"/>
  <c r="E305" i="1"/>
  <c r="G305" i="1"/>
  <c r="R259" i="1"/>
  <c r="I305" i="1"/>
  <c r="N304" i="1"/>
  <c r="E304" i="1"/>
  <c r="G304" i="1"/>
  <c r="I304" i="1"/>
  <c r="M304" i="1"/>
  <c r="I368" i="1"/>
  <c r="M368" i="1"/>
  <c r="I363" i="1"/>
  <c r="M363" i="1"/>
  <c r="I362" i="1"/>
  <c r="M362" i="1"/>
  <c r="I361" i="1"/>
  <c r="M361" i="1"/>
  <c r="I360" i="1"/>
  <c r="M360" i="1"/>
  <c r="I357" i="1"/>
  <c r="M357" i="1"/>
  <c r="I354" i="1"/>
  <c r="M354" i="1"/>
  <c r="I348" i="1"/>
  <c r="M348" i="1"/>
  <c r="I347" i="1"/>
  <c r="M347" i="1"/>
  <c r="I346" i="1"/>
  <c r="M346" i="1"/>
  <c r="I343" i="1"/>
  <c r="M343" i="1"/>
  <c r="I342" i="1"/>
  <c r="M342" i="1"/>
  <c r="I340" i="1"/>
  <c r="M340" i="1"/>
  <c r="O340" i="1"/>
  <c r="I339" i="1"/>
  <c r="M339" i="1"/>
  <c r="P339" i="1"/>
  <c r="I338" i="1"/>
  <c r="M338" i="1"/>
  <c r="I337" i="1"/>
  <c r="M337" i="1"/>
  <c r="O337" i="1"/>
  <c r="I328" i="1"/>
  <c r="M328" i="1"/>
  <c r="I327" i="1"/>
  <c r="M327" i="1"/>
  <c r="I323" i="1"/>
  <c r="M323" i="1"/>
  <c r="I322" i="1"/>
  <c r="M322" i="1"/>
  <c r="I319" i="1"/>
  <c r="M319" i="1"/>
  <c r="I318" i="1"/>
  <c r="M318" i="1"/>
  <c r="I315" i="1"/>
  <c r="M315" i="1"/>
  <c r="I314" i="1"/>
  <c r="M314" i="1"/>
  <c r="I313" i="1"/>
  <c r="M313" i="1"/>
  <c r="M305" i="1"/>
  <c r="P305" i="1"/>
  <c r="I306" i="1"/>
  <c r="I308" i="1"/>
  <c r="M308" i="1"/>
  <c r="M310" i="1"/>
  <c r="P310" i="1"/>
  <c r="M311" i="1"/>
  <c r="I312" i="1"/>
  <c r="M312" i="1"/>
  <c r="O312" i="1"/>
  <c r="I366" i="1"/>
  <c r="M366" i="1"/>
  <c r="P366" i="1"/>
  <c r="I355" i="1"/>
  <c r="M355" i="1"/>
  <c r="I351" i="1"/>
  <c r="M351" i="1"/>
  <c r="I349" i="1"/>
  <c r="M349" i="1"/>
  <c r="O349" i="1"/>
  <c r="I344" i="1"/>
  <c r="M344" i="1"/>
  <c r="I336" i="1"/>
  <c r="M336" i="1"/>
  <c r="I320" i="1"/>
  <c r="M320" i="1"/>
  <c r="I317" i="1"/>
  <c r="M317" i="1"/>
  <c r="I358" i="1"/>
  <c r="M358" i="1"/>
  <c r="I352" i="1"/>
  <c r="M352" i="1"/>
  <c r="I330" i="1"/>
  <c r="M330" i="1"/>
  <c r="I324" i="1"/>
  <c r="M324" i="1"/>
  <c r="O324" i="1"/>
  <c r="I321" i="1"/>
  <c r="M321" i="1"/>
  <c r="E310" i="1"/>
  <c r="I364" i="1"/>
  <c r="M364" i="1"/>
  <c r="O364" i="1"/>
  <c r="I359" i="1"/>
  <c r="M359" i="1"/>
  <c r="I350" i="1"/>
  <c r="M350" i="1"/>
  <c r="I367" i="1"/>
  <c r="M367" i="1"/>
  <c r="I356" i="1"/>
  <c r="M356" i="1"/>
  <c r="I345" i="1"/>
  <c r="M345" i="1"/>
  <c r="I325" i="1"/>
  <c r="M325" i="1"/>
  <c r="O325" i="1"/>
  <c r="I316" i="1"/>
  <c r="M316" i="1"/>
  <c r="P337" i="1"/>
  <c r="O307" i="1"/>
  <c r="P307" i="1"/>
  <c r="O366" i="1"/>
  <c r="O360" i="1"/>
  <c r="P360" i="1"/>
  <c r="O341" i="1"/>
  <c r="P341" i="1"/>
  <c r="O339" i="1"/>
  <c r="O313" i="1"/>
  <c r="P313" i="1"/>
  <c r="M306" i="1"/>
  <c r="O306" i="1"/>
  <c r="O310" i="1"/>
  <c r="P340" i="1"/>
  <c r="P324" i="1"/>
  <c r="O365" i="1"/>
  <c r="P365" i="1"/>
  <c r="O338" i="1"/>
  <c r="P338" i="1"/>
  <c r="P499" i="1"/>
  <c r="O304" i="1"/>
  <c r="P304" i="1"/>
  <c r="N505" i="1"/>
  <c r="M13" i="1"/>
  <c r="P312" i="1"/>
  <c r="P349" i="1"/>
  <c r="P325" i="1"/>
  <c r="P308" i="1"/>
  <c r="O308" i="1"/>
  <c r="O356" i="1"/>
  <c r="P356" i="1"/>
  <c r="O350" i="1"/>
  <c r="P350" i="1"/>
  <c r="O321" i="1"/>
  <c r="P321" i="1"/>
  <c r="P330" i="1"/>
  <c r="O330" i="1"/>
  <c r="O358" i="1"/>
  <c r="P358" i="1"/>
  <c r="P320" i="1"/>
  <c r="O320" i="1"/>
  <c r="O344" i="1"/>
  <c r="P344" i="1"/>
  <c r="P351" i="1"/>
  <c r="O351" i="1"/>
  <c r="P314" i="1"/>
  <c r="O314" i="1"/>
  <c r="P318" i="1"/>
  <c r="O318" i="1"/>
  <c r="P322" i="1"/>
  <c r="O322" i="1"/>
  <c r="P327" i="1"/>
  <c r="O327" i="1"/>
  <c r="P342" i="1"/>
  <c r="O342" i="1"/>
  <c r="P346" i="1"/>
  <c r="O346" i="1"/>
  <c r="O348" i="1"/>
  <c r="P348" i="1"/>
  <c r="O357" i="1"/>
  <c r="P357" i="1"/>
  <c r="P361" i="1"/>
  <c r="O361" i="1"/>
  <c r="P363" i="1"/>
  <c r="O363" i="1"/>
  <c r="P316" i="1"/>
  <c r="O316" i="1"/>
  <c r="P345" i="1"/>
  <c r="O345" i="1"/>
  <c r="O367" i="1"/>
  <c r="P367" i="1"/>
  <c r="O359" i="1"/>
  <c r="P359" i="1"/>
  <c r="O352" i="1"/>
  <c r="P352" i="1"/>
  <c r="O317" i="1"/>
  <c r="P317" i="1"/>
  <c r="O336" i="1"/>
  <c r="P336" i="1"/>
  <c r="O355" i="1"/>
  <c r="P355" i="1"/>
  <c r="P315" i="1"/>
  <c r="O315" i="1"/>
  <c r="O319" i="1"/>
  <c r="P319" i="1"/>
  <c r="O323" i="1"/>
  <c r="P323" i="1"/>
  <c r="O328" i="1"/>
  <c r="P328" i="1"/>
  <c r="O343" i="1"/>
  <c r="P343" i="1"/>
  <c r="P347" i="1"/>
  <c r="O347" i="1"/>
  <c r="O354" i="1"/>
  <c r="P354" i="1"/>
  <c r="P362" i="1"/>
  <c r="O362" i="1"/>
  <c r="P368" i="1"/>
  <c r="O368" i="1"/>
  <c r="O305" i="1"/>
  <c r="P364" i="1"/>
  <c r="P306" i="1"/>
  <c r="M501" i="1"/>
  <c r="M12" i="1"/>
  <c r="N212" i="1"/>
  <c r="E212" i="1"/>
  <c r="G212" i="1"/>
  <c r="M212" i="1"/>
  <c r="N211" i="1"/>
  <c r="G211" i="1"/>
  <c r="E211" i="1"/>
  <c r="M211" i="1"/>
  <c r="O211" i="1"/>
  <c r="P212" i="1"/>
  <c r="O212" i="1"/>
  <c r="N210" i="1"/>
  <c r="G210" i="1"/>
  <c r="N209" i="1"/>
  <c r="G209" i="1"/>
  <c r="N208" i="1"/>
  <c r="G208" i="1"/>
  <c r="N207" i="1"/>
  <c r="G207" i="1"/>
  <c r="N206" i="1"/>
  <c r="G206" i="1"/>
  <c r="N205" i="1"/>
  <c r="G205" i="1"/>
  <c r="N204" i="1"/>
  <c r="G204" i="1"/>
  <c r="N203" i="1"/>
  <c r="G203" i="1"/>
  <c r="N202" i="1"/>
  <c r="G202" i="1"/>
  <c r="N201" i="1"/>
  <c r="G201" i="1"/>
  <c r="N200" i="1"/>
  <c r="G200" i="1"/>
  <c r="N199" i="1"/>
  <c r="G199" i="1"/>
  <c r="N198" i="1"/>
  <c r="G198" i="1"/>
  <c r="G197" i="1"/>
  <c r="I197" i="1"/>
  <c r="E197" i="1"/>
  <c r="N196" i="1"/>
  <c r="G196" i="1"/>
  <c r="M196" i="1"/>
  <c r="P196" i="1"/>
  <c r="O196" i="1"/>
  <c r="N195" i="1"/>
  <c r="M195" i="1"/>
  <c r="O195" i="1"/>
  <c r="G195" i="1"/>
  <c r="N194" i="1"/>
  <c r="M194" i="1"/>
  <c r="P194" i="1"/>
  <c r="G194" i="1"/>
  <c r="E194" i="1"/>
  <c r="N193" i="1"/>
  <c r="E193" i="1"/>
  <c r="M193" i="1"/>
  <c r="O193" i="1"/>
  <c r="G193" i="1"/>
  <c r="N192" i="1"/>
  <c r="G192" i="1"/>
  <c r="I192" i="1"/>
  <c r="M192" i="1"/>
  <c r="O192" i="1"/>
  <c r="N191" i="1"/>
  <c r="G191" i="1"/>
  <c r="I191" i="1"/>
  <c r="M191" i="1"/>
  <c r="O191" i="1"/>
  <c r="N190" i="1"/>
  <c r="M190" i="1"/>
  <c r="G190" i="1"/>
  <c r="N189" i="1"/>
  <c r="G189" i="1"/>
  <c r="E189" i="1"/>
  <c r="N188" i="1"/>
  <c r="G188" i="1"/>
  <c r="I188" i="1"/>
  <c r="N187" i="1"/>
  <c r="G187" i="1"/>
  <c r="M187" i="1"/>
  <c r="P187" i="1"/>
  <c r="N186" i="1"/>
  <c r="G186" i="1"/>
  <c r="M186" i="1"/>
  <c r="O186" i="1"/>
  <c r="N185" i="1"/>
  <c r="G185" i="1"/>
  <c r="M185" i="1"/>
  <c r="O185" i="1"/>
  <c r="N184" i="1"/>
  <c r="G184" i="1"/>
  <c r="M184" i="1"/>
  <c r="P184" i="1"/>
  <c r="N183" i="1"/>
  <c r="G183" i="1"/>
  <c r="M183" i="1"/>
  <c r="P183" i="1"/>
  <c r="N182" i="1"/>
  <c r="G182" i="1"/>
  <c r="N181" i="1"/>
  <c r="G181" i="1"/>
  <c r="N180" i="1"/>
  <c r="G180" i="1"/>
  <c r="N179" i="1"/>
  <c r="G179" i="1"/>
  <c r="N178" i="1"/>
  <c r="G178" i="1"/>
  <c r="N177" i="1"/>
  <c r="G177" i="1"/>
  <c r="E177" i="1"/>
  <c r="E178" i="1"/>
  <c r="E179" i="1"/>
  <c r="E180" i="1"/>
  <c r="E181" i="1"/>
  <c r="E182" i="1"/>
  <c r="M189" i="1"/>
  <c r="O189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190" i="1"/>
  <c r="E195" i="1"/>
  <c r="M177" i="1"/>
  <c r="O177" i="1"/>
  <c r="M178" i="1"/>
  <c r="O178" i="1"/>
  <c r="M179" i="1"/>
  <c r="P179" i="1"/>
  <c r="M180" i="1"/>
  <c r="O180" i="1"/>
  <c r="M181" i="1"/>
  <c r="O181" i="1"/>
  <c r="E183" i="1"/>
  <c r="E184" i="1"/>
  <c r="E185" i="1"/>
  <c r="E186" i="1"/>
  <c r="E187" i="1"/>
  <c r="E188" i="1"/>
  <c r="M188" i="1"/>
  <c r="P188" i="1"/>
  <c r="P190" i="1"/>
  <c r="E191" i="1"/>
  <c r="E192" i="1"/>
  <c r="E196" i="1"/>
  <c r="M197" i="1"/>
  <c r="O197" i="1"/>
  <c r="M198" i="1"/>
  <c r="P198" i="1"/>
  <c r="O198" i="1"/>
  <c r="I199" i="1"/>
  <c r="M199" i="1"/>
  <c r="I200" i="1"/>
  <c r="M200" i="1"/>
  <c r="I201" i="1"/>
  <c r="M201" i="1"/>
  <c r="P201" i="1"/>
  <c r="O201" i="1"/>
  <c r="I202" i="1"/>
  <c r="M202" i="1"/>
  <c r="I203" i="1"/>
  <c r="M203" i="1"/>
  <c r="I204" i="1"/>
  <c r="M204" i="1"/>
  <c r="M205" i="1"/>
  <c r="P205" i="1"/>
  <c r="O205" i="1"/>
  <c r="M206" i="1"/>
  <c r="P206" i="1"/>
  <c r="O206" i="1"/>
  <c r="M207" i="1"/>
  <c r="P207" i="1"/>
  <c r="O207" i="1"/>
  <c r="M208" i="1"/>
  <c r="P208" i="1"/>
  <c r="O208" i="1"/>
  <c r="M209" i="1"/>
  <c r="M210" i="1"/>
  <c r="P211" i="1"/>
  <c r="P177" i="1"/>
  <c r="P185" i="1"/>
  <c r="P186" i="1"/>
  <c r="O194" i="1"/>
  <c r="P195" i="1"/>
  <c r="P197" i="1"/>
  <c r="O179" i="1"/>
  <c r="P191" i="1"/>
  <c r="P193" i="1"/>
  <c r="P192" i="1"/>
  <c r="P178" i="1"/>
  <c r="P181" i="1"/>
  <c r="O183" i="1"/>
  <c r="O184" i="1"/>
  <c r="O187" i="1"/>
  <c r="P189" i="1"/>
  <c r="O190" i="1"/>
  <c r="P209" i="1"/>
  <c r="O209" i="1"/>
  <c r="N176" i="1"/>
  <c r="G176" i="1"/>
  <c r="N175" i="1"/>
  <c r="G175" i="1"/>
  <c r="M175" i="1"/>
  <c r="P175" i="1"/>
  <c r="N174" i="1"/>
  <c r="G174" i="1"/>
  <c r="M174" i="1"/>
  <c r="P174" i="1"/>
  <c r="O188" i="1"/>
  <c r="E176" i="1"/>
  <c r="P180" i="1"/>
  <c r="P204" i="1"/>
  <c r="O204" i="1"/>
  <c r="P200" i="1"/>
  <c r="O200" i="1"/>
  <c r="P203" i="1"/>
  <c r="O203" i="1"/>
  <c r="P199" i="1"/>
  <c r="O199" i="1"/>
  <c r="P202" i="1"/>
  <c r="O202" i="1"/>
  <c r="E174" i="1"/>
  <c r="E175" i="1"/>
  <c r="O175" i="1"/>
  <c r="P210" i="1"/>
  <c r="O210" i="1"/>
  <c r="O174" i="1"/>
  <c r="N173" i="1"/>
  <c r="G173" i="1"/>
  <c r="E173" i="1"/>
  <c r="N172" i="1"/>
  <c r="G172" i="1"/>
  <c r="G171" i="1"/>
  <c r="E171" i="1"/>
  <c r="N170" i="1"/>
  <c r="G170" i="1"/>
  <c r="N169" i="1"/>
  <c r="G169" i="1"/>
  <c r="N168" i="1"/>
  <c r="G168" i="1"/>
  <c r="N167" i="1"/>
  <c r="G167" i="1"/>
  <c r="N166" i="1"/>
  <c r="G166" i="1"/>
  <c r="N165" i="1"/>
  <c r="G165" i="1"/>
  <c r="N164" i="1"/>
  <c r="M164" i="1"/>
  <c r="O164" i="1"/>
  <c r="G164" i="1"/>
  <c r="E164" i="1"/>
  <c r="N163" i="1"/>
  <c r="M163" i="1"/>
  <c r="G163" i="1"/>
  <c r="E163" i="1"/>
  <c r="N162" i="1"/>
  <c r="M162" i="1"/>
  <c r="O162" i="1"/>
  <c r="G162" i="1"/>
  <c r="E162" i="1"/>
  <c r="N161" i="1"/>
  <c r="G161" i="1"/>
  <c r="N160" i="1"/>
  <c r="G160" i="1"/>
  <c r="M160" i="1"/>
  <c r="P160" i="1"/>
  <c r="O160" i="1"/>
  <c r="N159" i="1"/>
  <c r="G159" i="1"/>
  <c r="N158" i="1"/>
  <c r="E158" i="1"/>
  <c r="G158" i="1"/>
  <c r="M158" i="1"/>
  <c r="N157" i="1"/>
  <c r="G157" i="1"/>
  <c r="N156" i="1"/>
  <c r="G156" i="1"/>
  <c r="N155" i="1"/>
  <c r="E155" i="1"/>
  <c r="M155" i="1"/>
  <c r="G155" i="1"/>
  <c r="N154" i="1"/>
  <c r="E154" i="1"/>
  <c r="M154" i="1"/>
  <c r="O154" i="1"/>
  <c r="G154" i="1"/>
  <c r="N153" i="1"/>
  <c r="G153" i="1"/>
  <c r="N152" i="1"/>
  <c r="G152" i="1"/>
  <c r="E152" i="1"/>
  <c r="N151" i="1"/>
  <c r="G151" i="1"/>
  <c r="N150" i="1"/>
  <c r="G150" i="1"/>
  <c r="E150" i="1"/>
  <c r="N149" i="1"/>
  <c r="G149" i="1"/>
  <c r="M149" i="1"/>
  <c r="P149" i="1"/>
  <c r="O149" i="1"/>
  <c r="E149" i="1"/>
  <c r="N148" i="1"/>
  <c r="G148" i="1"/>
  <c r="N147" i="1"/>
  <c r="G147" i="1"/>
  <c r="E147" i="1"/>
  <c r="N146" i="1"/>
  <c r="G146" i="1"/>
  <c r="N145" i="1"/>
  <c r="G145" i="1"/>
  <c r="N144" i="1"/>
  <c r="G144" i="1"/>
  <c r="N143" i="1"/>
  <c r="G143" i="1"/>
  <c r="M143" i="1"/>
  <c r="P143" i="1"/>
  <c r="O143" i="1"/>
  <c r="N142" i="1"/>
  <c r="G142" i="1"/>
  <c r="M142" i="1"/>
  <c r="P142" i="1"/>
  <c r="O142" i="1"/>
  <c r="N141" i="1"/>
  <c r="M141" i="1"/>
  <c r="G141" i="1"/>
  <c r="E141" i="1"/>
  <c r="N140" i="1"/>
  <c r="G140" i="1"/>
  <c r="E140" i="1"/>
  <c r="N139" i="1"/>
  <c r="G139" i="1"/>
  <c r="E139" i="1"/>
  <c r="N138" i="1"/>
  <c r="G138" i="1"/>
  <c r="E138" i="1"/>
  <c r="N137" i="1"/>
  <c r="G137" i="1"/>
  <c r="E137" i="1"/>
  <c r="E148" i="1"/>
  <c r="P158" i="1"/>
  <c r="O158" i="1"/>
  <c r="E165" i="1"/>
  <c r="E166" i="1"/>
  <c r="E167" i="1"/>
  <c r="E168" i="1"/>
  <c r="E169" i="1"/>
  <c r="E170" i="1"/>
  <c r="E172" i="1"/>
  <c r="E144" i="1"/>
  <c r="E145" i="1"/>
  <c r="E146" i="1"/>
  <c r="M150" i="1"/>
  <c r="P150" i="1"/>
  <c r="M151" i="1"/>
  <c r="P151" i="1"/>
  <c r="O151" i="1"/>
  <c r="I152" i="1"/>
  <c r="M152" i="1"/>
  <c r="E153" i="1"/>
  <c r="I155" i="1"/>
  <c r="E156" i="1"/>
  <c r="E157" i="1"/>
  <c r="E159" i="1"/>
  <c r="E161" i="1"/>
  <c r="P162" i="1"/>
  <c r="P163" i="1"/>
  <c r="O163" i="1"/>
  <c r="M137" i="1"/>
  <c r="M138" i="1"/>
  <c r="P138" i="1"/>
  <c r="O138" i="1"/>
  <c r="M139" i="1"/>
  <c r="M140" i="1"/>
  <c r="P140" i="1"/>
  <c r="O140" i="1"/>
  <c r="P141" i="1"/>
  <c r="O141" i="1"/>
  <c r="E142" i="1"/>
  <c r="E143" i="1"/>
  <c r="M144" i="1"/>
  <c r="P144" i="1"/>
  <c r="O144" i="1"/>
  <c r="M145" i="1"/>
  <c r="P145" i="1"/>
  <c r="O145" i="1"/>
  <c r="M147" i="1"/>
  <c r="I148" i="1"/>
  <c r="M148" i="1"/>
  <c r="E151" i="1"/>
  <c r="M153" i="1"/>
  <c r="P154" i="1"/>
  <c r="M156" i="1"/>
  <c r="M157" i="1"/>
  <c r="M159" i="1"/>
  <c r="O159" i="1"/>
  <c r="E160" i="1"/>
  <c r="M161" i="1"/>
  <c r="P164" i="1"/>
  <c r="M169" i="1"/>
  <c r="P169" i="1"/>
  <c r="M170" i="1"/>
  <c r="P170" i="1"/>
  <c r="M172" i="1"/>
  <c r="P172" i="1"/>
  <c r="O172" i="1"/>
  <c r="M173" i="1"/>
  <c r="O173" i="1"/>
  <c r="P173" i="1"/>
  <c r="O150" i="1"/>
  <c r="P155" i="1"/>
  <c r="O155" i="1"/>
  <c r="O170" i="1"/>
  <c r="O136" i="1"/>
  <c r="N136" i="1"/>
  <c r="P136" i="1"/>
  <c r="G136" i="1"/>
  <c r="E136" i="1"/>
  <c r="N135" i="1"/>
  <c r="G135" i="1"/>
  <c r="N134" i="1"/>
  <c r="G134" i="1"/>
  <c r="N133" i="1"/>
  <c r="G133" i="1"/>
  <c r="N132" i="1"/>
  <c r="G132" i="1"/>
  <c r="N131" i="1"/>
  <c r="G131" i="1"/>
  <c r="N130" i="1"/>
  <c r="G130" i="1"/>
  <c r="N129" i="1"/>
  <c r="G129" i="1"/>
  <c r="N128" i="1"/>
  <c r="G128" i="1"/>
  <c r="N127" i="1"/>
  <c r="G127" i="1"/>
  <c r="N126" i="1"/>
  <c r="G126" i="1"/>
  <c r="N125" i="1"/>
  <c r="G125" i="1"/>
  <c r="N124" i="1"/>
  <c r="G124" i="1"/>
  <c r="N123" i="1"/>
  <c r="G123" i="1"/>
  <c r="M123" i="1"/>
  <c r="P123" i="1"/>
  <c r="O123" i="1"/>
  <c r="N122" i="1"/>
  <c r="G122" i="1"/>
  <c r="M122" i="1"/>
  <c r="P122" i="1"/>
  <c r="O122" i="1"/>
  <c r="N121" i="1"/>
  <c r="G121" i="1"/>
  <c r="M121" i="1"/>
  <c r="O121" i="1"/>
  <c r="N120" i="1"/>
  <c r="G120" i="1"/>
  <c r="N119" i="1"/>
  <c r="G119" i="1"/>
  <c r="N118" i="1"/>
  <c r="G118" i="1"/>
  <c r="N117" i="1"/>
  <c r="K117" i="1"/>
  <c r="G117" i="1"/>
  <c r="E117" i="1"/>
  <c r="N116" i="1"/>
  <c r="G116" i="1"/>
  <c r="E116" i="1"/>
  <c r="N115" i="1"/>
  <c r="G115" i="1"/>
  <c r="E115" i="1"/>
  <c r="N114" i="1"/>
  <c r="G114" i="1"/>
  <c r="E114" i="1"/>
  <c r="N113" i="1"/>
  <c r="G113" i="1"/>
  <c r="I113" i="1"/>
  <c r="E113" i="1"/>
  <c r="N112" i="1"/>
  <c r="G112" i="1"/>
  <c r="N111" i="1"/>
  <c r="G111" i="1"/>
  <c r="N110" i="1"/>
  <c r="G110" i="1"/>
  <c r="N109" i="1"/>
  <c r="M109" i="1"/>
  <c r="G109" i="1"/>
  <c r="N108" i="1"/>
  <c r="K108" i="1"/>
  <c r="G108" i="1"/>
  <c r="E108" i="1"/>
  <c r="N107" i="1"/>
  <c r="K107" i="1"/>
  <c r="G107" i="1"/>
  <c r="I107" i="1"/>
  <c r="N106" i="1"/>
  <c r="M106" i="1"/>
  <c r="G106" i="1"/>
  <c r="N105" i="1"/>
  <c r="G105" i="1"/>
  <c r="E105" i="1"/>
  <c r="N104" i="1"/>
  <c r="G104" i="1"/>
  <c r="E104" i="1"/>
  <c r="N103" i="1"/>
  <c r="G103" i="1"/>
  <c r="E103" i="1"/>
  <c r="N102" i="1"/>
  <c r="M102" i="1"/>
  <c r="P102" i="1"/>
  <c r="O102" i="1"/>
  <c r="G102" i="1"/>
  <c r="E102" i="1"/>
  <c r="O101" i="1"/>
  <c r="N101" i="1"/>
  <c r="P101" i="1"/>
  <c r="G101" i="1"/>
  <c r="E101" i="1"/>
  <c r="O100" i="1"/>
  <c r="N100" i="1"/>
  <c r="P100" i="1"/>
  <c r="G100" i="1"/>
  <c r="E100" i="1"/>
  <c r="N99" i="1"/>
  <c r="G99" i="1"/>
  <c r="N98" i="1"/>
  <c r="G98" i="1"/>
  <c r="M98" i="1"/>
  <c r="P98" i="1"/>
  <c r="O98" i="1"/>
  <c r="N97" i="1"/>
  <c r="G97" i="1"/>
  <c r="I97" i="1"/>
  <c r="N96" i="1"/>
  <c r="G96" i="1"/>
  <c r="N95" i="1"/>
  <c r="G95" i="1"/>
  <c r="E95" i="1"/>
  <c r="N94" i="1"/>
  <c r="G94" i="1"/>
  <c r="N93" i="1"/>
  <c r="E109" i="1"/>
  <c r="E106" i="1"/>
  <c r="M94" i="1"/>
  <c r="O94" i="1"/>
  <c r="M96" i="1"/>
  <c r="O96" i="1"/>
  <c r="E99" i="1"/>
  <c r="P106" i="1"/>
  <c r="O106" i="1"/>
  <c r="P109" i="1"/>
  <c r="O109" i="1"/>
  <c r="E110" i="1"/>
  <c r="E111" i="1"/>
  <c r="E112" i="1"/>
  <c r="E118" i="1"/>
  <c r="E119" i="1"/>
  <c r="E120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P159" i="1"/>
  <c r="O169" i="1"/>
  <c r="O148" i="1"/>
  <c r="P148" i="1"/>
  <c r="O161" i="1"/>
  <c r="P161" i="1"/>
  <c r="O156" i="1"/>
  <c r="P156" i="1"/>
  <c r="O153" i="1"/>
  <c r="P153" i="1"/>
  <c r="O147" i="1"/>
  <c r="P147" i="1"/>
  <c r="P139" i="1"/>
  <c r="O139" i="1"/>
  <c r="P137" i="1"/>
  <c r="O137" i="1"/>
  <c r="P96" i="1"/>
  <c r="E94" i="1"/>
  <c r="M95" i="1"/>
  <c r="O95" i="1"/>
  <c r="E96" i="1"/>
  <c r="E97" i="1"/>
  <c r="M97" i="1"/>
  <c r="O97" i="1"/>
  <c r="E98" i="1"/>
  <c r="M99" i="1"/>
  <c r="I103" i="1"/>
  <c r="M104" i="1"/>
  <c r="O104" i="1"/>
  <c r="M105" i="1"/>
  <c r="P105" i="1"/>
  <c r="O105" i="1"/>
  <c r="E107" i="1"/>
  <c r="M108" i="1"/>
  <c r="I110" i="1"/>
  <c r="I111" i="1"/>
  <c r="I112" i="1"/>
  <c r="M113" i="1"/>
  <c r="O113" i="1"/>
  <c r="M114" i="1"/>
  <c r="P114" i="1"/>
  <c r="O114" i="1"/>
  <c r="I115" i="1"/>
  <c r="M116" i="1"/>
  <c r="O116" i="1"/>
  <c r="M118" i="1"/>
  <c r="P118" i="1"/>
  <c r="I119" i="1"/>
  <c r="I120" i="1"/>
  <c r="E121" i="1"/>
  <c r="E122" i="1"/>
  <c r="E123" i="1"/>
  <c r="I125" i="1"/>
  <c r="I126" i="1"/>
  <c r="M126" i="1"/>
  <c r="I127" i="1"/>
  <c r="M128" i="1"/>
  <c r="M129" i="1"/>
  <c r="M130" i="1"/>
  <c r="P130" i="1"/>
  <c r="O130" i="1"/>
  <c r="M131" i="1"/>
  <c r="M132" i="1"/>
  <c r="M133" i="1"/>
  <c r="M134" i="1"/>
  <c r="P134" i="1"/>
  <c r="O134" i="1"/>
  <c r="M135" i="1"/>
  <c r="P135" i="1"/>
  <c r="O135" i="1"/>
  <c r="O157" i="1"/>
  <c r="P157" i="1"/>
  <c r="O152" i="1"/>
  <c r="P152" i="1"/>
  <c r="P94" i="1"/>
  <c r="M103" i="1"/>
  <c r="O103" i="1"/>
  <c r="M107" i="1"/>
  <c r="M110" i="1"/>
  <c r="O110" i="1"/>
  <c r="M111" i="1"/>
  <c r="O111" i="1"/>
  <c r="M112" i="1"/>
  <c r="O112" i="1"/>
  <c r="M115" i="1"/>
  <c r="O115" i="1"/>
  <c r="M117" i="1"/>
  <c r="M119" i="1"/>
  <c r="O119" i="1"/>
  <c r="M120" i="1"/>
  <c r="O120" i="1"/>
  <c r="M125" i="1"/>
  <c r="M127" i="1"/>
  <c r="O118" i="1"/>
  <c r="P103" i="1"/>
  <c r="P97" i="1"/>
  <c r="P116" i="1"/>
  <c r="P120" i="1"/>
  <c r="P121" i="1"/>
  <c r="F93" i="1"/>
  <c r="E93" i="1"/>
  <c r="N92" i="1"/>
  <c r="G92" i="1"/>
  <c r="N91" i="1"/>
  <c r="G91" i="1"/>
  <c r="E91" i="1"/>
  <c r="N90" i="1"/>
  <c r="M90" i="1"/>
  <c r="O90" i="1"/>
  <c r="G90" i="1"/>
  <c r="E90" i="1"/>
  <c r="N89" i="1"/>
  <c r="G89" i="1"/>
  <c r="N88" i="1"/>
  <c r="G88" i="1"/>
  <c r="N87" i="1"/>
  <c r="G87" i="1"/>
  <c r="E87" i="1"/>
  <c r="N86" i="1"/>
  <c r="G86" i="1"/>
  <c r="N85" i="1"/>
  <c r="G85" i="1"/>
  <c r="N84" i="1"/>
  <c r="G84" i="1"/>
  <c r="I84" i="1"/>
  <c r="N83" i="1"/>
  <c r="G83" i="1"/>
  <c r="M83" i="1"/>
  <c r="P83" i="1"/>
  <c r="N82" i="1"/>
  <c r="K82" i="1"/>
  <c r="G82" i="1"/>
  <c r="E82" i="1"/>
  <c r="N81" i="1"/>
  <c r="G81" i="1"/>
  <c r="I81" i="1"/>
  <c r="E81" i="1"/>
  <c r="E80" i="1"/>
  <c r="N79" i="1"/>
  <c r="G79" i="1"/>
  <c r="E79" i="1"/>
  <c r="N78" i="1"/>
  <c r="G78" i="1"/>
  <c r="E78" i="1"/>
  <c r="N77" i="1"/>
  <c r="G77" i="1"/>
  <c r="G76" i="1"/>
  <c r="E76" i="1"/>
  <c r="N75" i="1"/>
  <c r="G75" i="1"/>
  <c r="E75" i="1"/>
  <c r="N74" i="1"/>
  <c r="G74" i="1"/>
  <c r="N73" i="1"/>
  <c r="G73" i="1"/>
  <c r="N72" i="1"/>
  <c r="G72" i="1"/>
  <c r="J72" i="1"/>
  <c r="N71" i="1"/>
  <c r="M71" i="1"/>
  <c r="O71" i="1"/>
  <c r="G71" i="1"/>
  <c r="E71" i="1"/>
  <c r="M70" i="1"/>
  <c r="O70" i="1"/>
  <c r="G70" i="1"/>
  <c r="E70" i="1"/>
  <c r="N69" i="1"/>
  <c r="G69" i="1"/>
  <c r="I69" i="1"/>
  <c r="N68" i="1"/>
  <c r="G68" i="1"/>
  <c r="N67" i="1"/>
  <c r="G67" i="1"/>
  <c r="N66" i="1"/>
  <c r="G66" i="1"/>
  <c r="E66" i="1"/>
  <c r="N65" i="1"/>
  <c r="G65" i="1"/>
  <c r="I65" i="1"/>
  <c r="N64" i="1"/>
  <c r="G64" i="1"/>
  <c r="I64" i="1"/>
  <c r="N63" i="1"/>
  <c r="G63" i="1"/>
  <c r="N62" i="1"/>
  <c r="G62" i="1"/>
  <c r="N61" i="1"/>
  <c r="H61" i="1"/>
  <c r="G61" i="1"/>
  <c r="N60" i="1"/>
  <c r="G60" i="1"/>
  <c r="M60" i="1"/>
  <c r="P60" i="1"/>
  <c r="O60" i="1"/>
  <c r="N59" i="1"/>
  <c r="G59" i="1"/>
  <c r="M59" i="1"/>
  <c r="P59" i="1"/>
  <c r="N58" i="1"/>
  <c r="J58" i="1"/>
  <c r="G58" i="1"/>
  <c r="E58" i="1"/>
  <c r="N57" i="1"/>
  <c r="G57" i="1"/>
  <c r="N56" i="1"/>
  <c r="G56" i="1"/>
  <c r="N55" i="1"/>
  <c r="J55" i="1"/>
  <c r="G55" i="1"/>
  <c r="E55" i="1"/>
  <c r="N54" i="1"/>
  <c r="G54" i="1"/>
  <c r="N53" i="1"/>
  <c r="G53" i="1"/>
  <c r="N52" i="1"/>
  <c r="G52" i="1"/>
  <c r="E52" i="1"/>
  <c r="N51" i="1"/>
  <c r="G51" i="1"/>
  <c r="E51" i="1"/>
  <c r="N50" i="1"/>
  <c r="G50" i="1"/>
  <c r="N49" i="1"/>
  <c r="G49" i="1"/>
  <c r="I49" i="1"/>
  <c r="E49" i="1"/>
  <c r="N48" i="1"/>
  <c r="G48" i="1"/>
  <c r="M48" i="1"/>
  <c r="P48" i="1"/>
  <c r="N47" i="1"/>
  <c r="G47" i="1"/>
  <c r="M47" i="1"/>
  <c r="P47" i="1"/>
  <c r="N46" i="1"/>
  <c r="G46" i="1"/>
  <c r="N45" i="1"/>
  <c r="G45" i="1"/>
  <c r="E45" i="1"/>
  <c r="N44" i="1"/>
  <c r="G44" i="1"/>
  <c r="E44" i="1"/>
  <c r="N43" i="1"/>
  <c r="G43" i="1"/>
  <c r="N42" i="1"/>
  <c r="G42" i="1"/>
  <c r="E42" i="1"/>
  <c r="N41" i="1"/>
  <c r="G41" i="1"/>
  <c r="N40" i="1"/>
  <c r="G40" i="1"/>
  <c r="N39" i="1"/>
  <c r="G39" i="1"/>
  <c r="E39" i="1"/>
  <c r="N38" i="1"/>
  <c r="G38" i="1"/>
  <c r="E38" i="1"/>
  <c r="N37" i="1"/>
  <c r="G37" i="1"/>
  <c r="E37" i="1"/>
  <c r="N36" i="1"/>
  <c r="G36" i="1"/>
  <c r="N35" i="1"/>
  <c r="G35" i="1"/>
  <c r="G34" i="1"/>
  <c r="I34" i="1"/>
  <c r="E34" i="1"/>
  <c r="N33" i="1"/>
  <c r="G33" i="1"/>
  <c r="I33" i="1"/>
  <c r="N32" i="1"/>
  <c r="G32" i="1"/>
  <c r="I32" i="1"/>
  <c r="N31" i="1"/>
  <c r="G31" i="1"/>
  <c r="I31" i="1"/>
  <c r="N30" i="1"/>
  <c r="G30" i="1"/>
  <c r="I30" i="1"/>
  <c r="N29" i="1"/>
  <c r="G29" i="1"/>
  <c r="I29" i="1"/>
  <c r="N28" i="1"/>
  <c r="G28" i="1"/>
  <c r="I28" i="1"/>
  <c r="N27" i="1"/>
  <c r="G27" i="1"/>
  <c r="I27" i="1"/>
  <c r="N26" i="1"/>
  <c r="G26" i="1"/>
  <c r="M26" i="1"/>
  <c r="O26" i="1"/>
  <c r="N25" i="1"/>
  <c r="M25" i="1"/>
  <c r="O25" i="1"/>
  <c r="G25" i="1"/>
  <c r="N24" i="1"/>
  <c r="G24" i="1"/>
  <c r="N23" i="1"/>
  <c r="G23" i="1"/>
  <c r="N22" i="1"/>
  <c r="G22" i="1"/>
  <c r="E22" i="1"/>
  <c r="N21" i="1"/>
  <c r="J21" i="1"/>
  <c r="G21" i="1"/>
  <c r="E21" i="1"/>
  <c r="N20" i="1"/>
  <c r="M20" i="1"/>
  <c r="O20" i="1"/>
  <c r="G20" i="1"/>
  <c r="E20" i="1"/>
  <c r="N19" i="1"/>
  <c r="G19" i="1"/>
  <c r="N18" i="1"/>
  <c r="G18" i="1"/>
  <c r="N17" i="1"/>
  <c r="G17" i="1"/>
  <c r="E74" i="1"/>
  <c r="E50" i="1"/>
  <c r="E25" i="1"/>
  <c r="E35" i="1"/>
  <c r="E36" i="1"/>
  <c r="E41" i="1"/>
  <c r="E43" i="1"/>
  <c r="E56" i="1"/>
  <c r="E57" i="1"/>
  <c r="E77" i="1"/>
  <c r="P113" i="1"/>
  <c r="P111" i="1"/>
  <c r="P104" i="1"/>
  <c r="E17" i="1"/>
  <c r="E18" i="1"/>
  <c r="E19" i="1"/>
  <c r="P20" i="1"/>
  <c r="I21" i="1"/>
  <c r="M21" i="1"/>
  <c r="M23" i="1"/>
  <c r="P23" i="1"/>
  <c r="M24" i="1"/>
  <c r="M40" i="1"/>
  <c r="P40" i="1"/>
  <c r="O40" i="1"/>
  <c r="I45" i="1"/>
  <c r="E46" i="1"/>
  <c r="M53" i="1"/>
  <c r="P53" i="1"/>
  <c r="O53" i="1"/>
  <c r="M54" i="1"/>
  <c r="P54" i="1"/>
  <c r="I55" i="1"/>
  <c r="M55" i="1"/>
  <c r="O55" i="1"/>
  <c r="M62" i="1"/>
  <c r="P62" i="1"/>
  <c r="O62" i="1"/>
  <c r="M63" i="1"/>
  <c r="P63" i="1"/>
  <c r="O63" i="1"/>
  <c r="I66" i="1"/>
  <c r="M66" i="1"/>
  <c r="E67" i="1"/>
  <c r="E68" i="1"/>
  <c r="M73" i="1"/>
  <c r="P73" i="1"/>
  <c r="O73" i="1"/>
  <c r="I76" i="1"/>
  <c r="M76" i="1"/>
  <c r="M85" i="1"/>
  <c r="P85" i="1"/>
  <c r="M86" i="1"/>
  <c r="P86" i="1"/>
  <c r="I87" i="1"/>
  <c r="E88" i="1"/>
  <c r="E89" i="1"/>
  <c r="P90" i="1"/>
  <c r="I91" i="1"/>
  <c r="E92" i="1"/>
  <c r="P95" i="1"/>
  <c r="P115" i="1"/>
  <c r="P112" i="1"/>
  <c r="P110" i="1"/>
  <c r="O21" i="1"/>
  <c r="P21" i="1"/>
  <c r="O126" i="1"/>
  <c r="P126" i="1"/>
  <c r="P117" i="1"/>
  <c r="O117" i="1"/>
  <c r="O133" i="1"/>
  <c r="P133" i="1"/>
  <c r="O131" i="1"/>
  <c r="P131" i="1"/>
  <c r="O129" i="1"/>
  <c r="P129" i="1"/>
  <c r="O108" i="1"/>
  <c r="P108" i="1"/>
  <c r="P26" i="1"/>
  <c r="M34" i="1"/>
  <c r="P34" i="1"/>
  <c r="O34" i="1"/>
  <c r="N216" i="1"/>
  <c r="M9" i="1"/>
  <c r="M14" i="1"/>
  <c r="J18" i="1"/>
  <c r="M18" i="1"/>
  <c r="M19" i="1"/>
  <c r="M22" i="1"/>
  <c r="E23" i="1"/>
  <c r="O23" i="1"/>
  <c r="E24" i="1"/>
  <c r="E26" i="1"/>
  <c r="E27" i="1"/>
  <c r="M27" i="1"/>
  <c r="O27" i="1"/>
  <c r="E28" i="1"/>
  <c r="M28" i="1"/>
  <c r="P28" i="1"/>
  <c r="E29" i="1"/>
  <c r="M29" i="1"/>
  <c r="P29" i="1"/>
  <c r="E30" i="1"/>
  <c r="M30" i="1"/>
  <c r="P30" i="1"/>
  <c r="E31" i="1"/>
  <c r="M31" i="1"/>
  <c r="P31" i="1"/>
  <c r="E32" i="1"/>
  <c r="M32" i="1"/>
  <c r="P32" i="1"/>
  <c r="E33" i="1"/>
  <c r="M33" i="1"/>
  <c r="P33" i="1"/>
  <c r="I35" i="1"/>
  <c r="I36" i="1"/>
  <c r="M37" i="1"/>
  <c r="O37" i="1"/>
  <c r="M38" i="1"/>
  <c r="O38" i="1"/>
  <c r="I39" i="1"/>
  <c r="E40" i="1"/>
  <c r="M42" i="1"/>
  <c r="I43" i="1"/>
  <c r="I44" i="1"/>
  <c r="M45" i="1"/>
  <c r="I46" i="1"/>
  <c r="E47" i="1"/>
  <c r="O47" i="1"/>
  <c r="E48" i="1"/>
  <c r="O48" i="1"/>
  <c r="M49" i="1"/>
  <c r="O49" i="1"/>
  <c r="M50" i="1"/>
  <c r="P50" i="1"/>
  <c r="O50" i="1"/>
  <c r="M51" i="1"/>
  <c r="M52" i="1"/>
  <c r="P52" i="1"/>
  <c r="O52" i="1"/>
  <c r="E53" i="1"/>
  <c r="E54" i="1"/>
  <c r="O54" i="1"/>
  <c r="I56" i="1"/>
  <c r="I57" i="1"/>
  <c r="I58" i="1"/>
  <c r="M58" i="1"/>
  <c r="E59" i="1"/>
  <c r="O59" i="1"/>
  <c r="E60" i="1"/>
  <c r="E61" i="1"/>
  <c r="I61" i="1"/>
  <c r="M61" i="1"/>
  <c r="E62" i="1"/>
  <c r="E63" i="1"/>
  <c r="E64" i="1"/>
  <c r="M64" i="1"/>
  <c r="O64" i="1"/>
  <c r="E65" i="1"/>
  <c r="M65" i="1"/>
  <c r="P65" i="1"/>
  <c r="I67" i="1"/>
  <c r="I68" i="1"/>
  <c r="E69" i="1"/>
  <c r="M69" i="1"/>
  <c r="P69" i="1"/>
  <c r="P70" i="1"/>
  <c r="E72" i="1"/>
  <c r="P71" i="1"/>
  <c r="M72" i="1"/>
  <c r="P72" i="1"/>
  <c r="E73" i="1"/>
  <c r="I74" i="1"/>
  <c r="M75" i="1"/>
  <c r="O75" i="1"/>
  <c r="P75" i="1"/>
  <c r="M77" i="1"/>
  <c r="P77" i="1"/>
  <c r="O77" i="1"/>
  <c r="M78" i="1"/>
  <c r="M79" i="1"/>
  <c r="M81" i="1"/>
  <c r="O81" i="1"/>
  <c r="E83" i="1"/>
  <c r="O83" i="1"/>
  <c r="E84" i="1"/>
  <c r="J84" i="1"/>
  <c r="E85" i="1"/>
  <c r="O85" i="1"/>
  <c r="E86" i="1"/>
  <c r="M87" i="1"/>
  <c r="I88" i="1"/>
  <c r="I89" i="1"/>
  <c r="M89" i="1"/>
  <c r="M91" i="1"/>
  <c r="P91" i="1"/>
  <c r="I92" i="1"/>
  <c r="M92" i="1"/>
  <c r="O92" i="1"/>
  <c r="G93" i="1"/>
  <c r="P119" i="1"/>
  <c r="O127" i="1"/>
  <c r="P127" i="1"/>
  <c r="O125" i="1"/>
  <c r="P125" i="1"/>
  <c r="P107" i="1"/>
  <c r="O107" i="1"/>
  <c r="O132" i="1"/>
  <c r="P132" i="1"/>
  <c r="O128" i="1"/>
  <c r="P128" i="1"/>
  <c r="O99" i="1"/>
  <c r="P99" i="1"/>
  <c r="M35" i="1"/>
  <c r="O35" i="1"/>
  <c r="M36" i="1"/>
  <c r="O36" i="1"/>
  <c r="M39" i="1"/>
  <c r="M43" i="1"/>
  <c r="O43" i="1"/>
  <c r="M44" i="1"/>
  <c r="M46" i="1"/>
  <c r="M56" i="1"/>
  <c r="O56" i="1"/>
  <c r="M57" i="1"/>
  <c r="O57" i="1"/>
  <c r="M67" i="1"/>
  <c r="P67" i="1"/>
  <c r="M68" i="1"/>
  <c r="P68" i="1"/>
  <c r="M74" i="1"/>
  <c r="M84" i="1"/>
  <c r="O84" i="1"/>
  <c r="M88" i="1"/>
  <c r="P88" i="1"/>
  <c r="P37" i="1"/>
  <c r="O91" i="1"/>
  <c r="M82" i="1"/>
  <c r="O82" i="1"/>
  <c r="P27" i="1"/>
  <c r="P25" i="1"/>
  <c r="O29" i="1"/>
  <c r="O31" i="1"/>
  <c r="O33" i="1"/>
  <c r="P49" i="1"/>
  <c r="P56" i="1"/>
  <c r="O65" i="1"/>
  <c r="O69" i="1"/>
  <c r="P81" i="1"/>
  <c r="O68" i="1"/>
  <c r="P84" i="1"/>
  <c r="P55" i="1"/>
  <c r="P35" i="1"/>
  <c r="P61" i="1"/>
  <c r="O61" i="1"/>
  <c r="O76" i="1"/>
  <c r="P76" i="1"/>
  <c r="O66" i="1"/>
  <c r="P66" i="1"/>
  <c r="O32" i="1"/>
  <c r="O30" i="1"/>
  <c r="O28" i="1"/>
  <c r="P64" i="1"/>
  <c r="O72" i="1"/>
  <c r="P38" i="1"/>
  <c r="O86" i="1"/>
  <c r="P58" i="1"/>
  <c r="O58" i="1"/>
  <c r="P89" i="1"/>
  <c r="O89" i="1"/>
  <c r="P18" i="1"/>
  <c r="O18" i="1"/>
  <c r="O74" i="1"/>
  <c r="P74" i="1"/>
  <c r="P46" i="1"/>
  <c r="O46" i="1"/>
  <c r="P44" i="1"/>
  <c r="O44" i="1"/>
  <c r="O39" i="1"/>
  <c r="P39" i="1"/>
  <c r="I93" i="1"/>
  <c r="M93" i="1"/>
  <c r="O78" i="1"/>
  <c r="P78" i="1"/>
  <c r="O51" i="1"/>
  <c r="P51" i="1"/>
  <c r="O45" i="1"/>
  <c r="P45" i="1"/>
  <c r="P92" i="1"/>
  <c r="O88" i="1"/>
  <c r="O67" i="1"/>
  <c r="P57" i="1"/>
  <c r="P43" i="1"/>
  <c r="P36" i="1"/>
  <c r="O87" i="1"/>
  <c r="P87" i="1"/>
  <c r="O79" i="1"/>
  <c r="P79" i="1"/>
  <c r="P42" i="1"/>
  <c r="O42" i="1"/>
  <c r="O19" i="1"/>
  <c r="P19" i="1"/>
  <c r="P82" i="1"/>
  <c r="O311" i="1"/>
  <c r="P311" i="1"/>
  <c r="O309" i="1"/>
  <c r="P309" i="1"/>
  <c r="O93" i="1"/>
  <c r="P93" i="1"/>
  <c r="I17" i="1"/>
  <c r="M17" i="1"/>
  <c r="O22" i="1"/>
  <c r="O24" i="1"/>
  <c r="I41" i="1"/>
  <c r="M41" i="1"/>
  <c r="O41" i="1"/>
  <c r="I124" i="1"/>
  <c r="M124" i="1"/>
  <c r="O124" i="1"/>
  <c r="I146" i="1"/>
  <c r="M146" i="1"/>
  <c r="O146" i="1"/>
  <c r="I165" i="1"/>
  <c r="M165" i="1"/>
  <c r="I166" i="1"/>
  <c r="M166" i="1"/>
  <c r="O166" i="1"/>
  <c r="I167" i="1"/>
  <c r="M167" i="1"/>
  <c r="I168" i="1"/>
  <c r="M168" i="1"/>
  <c r="O168" i="1"/>
  <c r="M171" i="1"/>
  <c r="O171" i="1"/>
  <c r="I176" i="1"/>
  <c r="M176" i="1"/>
  <c r="I182" i="1"/>
  <c r="M182" i="1"/>
  <c r="P41" i="1"/>
  <c r="P22" i="1"/>
  <c r="P24" i="1"/>
  <c r="P166" i="1"/>
  <c r="P168" i="1"/>
  <c r="O17" i="1"/>
  <c r="N218" i="1"/>
  <c r="M8" i="1"/>
  <c r="P146" i="1"/>
  <c r="O176" i="1"/>
  <c r="P176" i="1"/>
  <c r="P167" i="1"/>
  <c r="O167" i="1"/>
  <c r="O182" i="1"/>
  <c r="P182" i="1"/>
  <c r="P165" i="1"/>
  <c r="O165" i="1"/>
  <c r="P171" i="1"/>
  <c r="P124" i="1"/>
  <c r="P17" i="1"/>
  <c r="M215" i="1"/>
  <c r="O216" i="1"/>
  <c r="M216" i="1"/>
  <c r="M10" i="1"/>
  <c r="O215" i="1"/>
  <c r="M7" i="1"/>
</calcChain>
</file>

<file path=xl/comments1.xml><?xml version="1.0" encoding="utf-8"?>
<comments xmlns="http://schemas.openxmlformats.org/spreadsheetml/2006/main">
  <authors>
    <author>Patrick</author>
  </authors>
  <commentList>
    <comment ref="M7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includes dividends and spinoffs</t>
        </r>
      </text>
    </comment>
    <comment ref="M8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Internal rate of return is defined as the annualized effective compounded return rate that makes net present value of all cash flows = 0.</t>
        </r>
      </text>
    </comment>
    <comment ref="M12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includes dividends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needs manual price update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Needs manual price update</t>
        </r>
      </text>
    </comment>
    <comment ref="J55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Travellers spinoff</t>
        </r>
      </text>
    </comment>
    <comment ref="J58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Medco/Express Scripts spinoff</t>
        </r>
      </text>
    </comment>
    <comment ref="J72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GXP</t>
        </r>
      </text>
    </comment>
    <comment ref="J84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Ameriprise Financial spinoff</t>
        </r>
      </text>
    </comment>
    <comment ref="A165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Next update convert these to Gotham Total Return</t>
        </r>
      </text>
    </comment>
    <comment ref="A166" authorId="0">
      <text>
        <r>
          <rPr>
            <b/>
            <sz val="9"/>
            <color indexed="81"/>
            <rFont val="Tahoma"/>
            <family val="2"/>
          </rPr>
          <t>Patrick Johnson:
Next update convert these to Gotham Total Return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67" authorId="0">
      <text>
        <r>
          <rPr>
            <b/>
            <sz val="9"/>
            <color indexed="81"/>
            <rFont val="Tahoma"/>
            <family val="2"/>
          </rPr>
          <t>Patrick Johnson:
Next update convert these to Gotham Total Return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68" authorId="0">
      <text>
        <r>
          <rPr>
            <b/>
            <sz val="9"/>
            <color indexed="81"/>
            <rFont val="Tahoma"/>
            <family val="2"/>
          </rPr>
          <t>Patrick Johnson:
Next update convert these to Gotham Total Return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>
  <connection id="1" name="Connection" type="4" refreshedVersion="3" background="1">
    <webPr xl2000="1" url="http://moneycentral.msn.com/investor/external/excel/quotes.asp?symbol=MSFT" htmlTables="1" htmlFormat="all"/>
  </connection>
  <connection id="2" name="Connection1" type="4" refreshedVersion="3" background="1" saveData="1">
    <webPr sourceData="1" parsePre="1" consecutive="1" xl2000="1" url="http://investing.money.msn.com/investments/mutual-fund-rates/?symbol=prgsx&amp;ocid=qbeb" htmlTables="1">
      <tables count="1">
        <s v="details"/>
      </tables>
    </webPr>
  </connection>
  <connection id="3" name="Connection10" type="4" refreshedVersion="3" background="1" saveData="1">
    <webPr sourceData="1" parsePre="1" consecutive="1" xl2000="1" url="http://investing.money.msn.com/investments/stock-price?Symbol=msft&amp;ocid=qbeb" htmlTables="1">
      <tables count="1">
        <x v="1"/>
      </tables>
    </webPr>
  </connection>
  <connection id="4" name="Connection11" type="4" refreshedVersion="3" background="1" saveData="1">
    <webPr sourceData="1" parsePre="1" consecutive="1" xl2000="1" url="http://investing.money.msn.com/investments/stock-price?Symbol=mck&amp;ocid=qbeb" htmlTables="1">
      <tables count="1">
        <x v="1"/>
      </tables>
    </webPr>
  </connection>
  <connection id="5" name="Connection12" type="4" refreshedVersion="3" background="1" saveData="1">
    <webPr sourceData="1" parsePre="1" consecutive="1" xl2000="1" url="http://investing.money.msn.com/investments/stock-price?Symbol=npk&amp;ocid=qbeb" htmlTables="1">
      <tables count="1">
        <x v="1"/>
      </tables>
    </webPr>
  </connection>
  <connection id="6" name="Connection13" type="4" refreshedVersion="3" background="1" saveData="1">
    <webPr sourceData="1" parsePre="1" consecutive="1" xl2000="1" url="http://investing.money.msn.com/investments/stock-price?Symbol=mvc&amp;ocid=qbeb" htmlTables="1">
      <tables count="1">
        <x v="1"/>
      </tables>
    </webPr>
  </connection>
  <connection id="7" name="Connection14" type="4" refreshedVersion="3" background="1" saveData="1">
    <webPr sourceData="1" parsePre="1" consecutive="1" xl2000="1" url="http://investing.money.msn.com/investments/stock-price?Symbol=hmc&amp;ocid=qbeb" htmlTables="1">
      <tables count="1">
        <x v="1"/>
      </tables>
    </webPr>
  </connection>
  <connection id="8" name="Connection15" type="4" refreshedVersion="3" background="1" saveData="1">
    <webPr sourceData="1" parsePre="1" consecutive="1" xl2000="1" url="http://investing.money.msn.com/investments/stock-price?Symbol=jnpr&amp;ocid=qbeb" htmlTables="1">
      <tables count="1">
        <x v="1"/>
      </tables>
    </webPr>
  </connection>
  <connection id="9" name="Connection16" type="4" refreshedVersion="3" background="1" saveData="1">
    <webPr sourceData="1" parsePre="1" consecutive="1" xl2000="1" url="http://investing.money.msn.com/investments/stock-price?Symbol=an&amp;ocid=qbeb" htmlTables="1">
      <tables count="1">
        <x v="1"/>
      </tables>
    </webPr>
  </connection>
  <connection id="10" name="Connection17" type="4" refreshedVersion="3" background="1" saveData="1">
    <webPr sourceData="1" parsePre="1" consecutive="1" xl2000="1" url="http://investing.money.msn.com/investments/stock-price?Symbol=c&amp;ocid=qbeb" htmlTables="1">
      <tables count="1">
        <x v="1"/>
      </tables>
    </webPr>
  </connection>
  <connection id="11" name="Connection18" type="4" refreshedVersion="3" background="1" saveData="1">
    <webPr sourceData="1" parsePre="1" consecutive="1" xl2000="1" url="http://investing.money.msn.com/investments/stock-price?Symbol=epd&amp;ocid=qbeb" htmlTables="1">
      <tables count="1">
        <x v="1"/>
      </tables>
    </webPr>
  </connection>
  <connection id="12" name="Connection19" type="4" refreshedVersion="3" background="1" saveData="1">
    <webPr sourceData="1" parsePre="1" consecutive="1" xl2000="1" url="http://investing.money.msn.com/investments/stock-price?Symbol=jnj&amp;ocid=qbeb" htmlTables="1">
      <tables count="1">
        <x v="1"/>
      </tables>
    </webPr>
  </connection>
  <connection id="13" name="Connection2" type="4" refreshedVersion="3" background="1" saveData="1">
    <webPr sourceData="1" parsePre="1" consecutive="1" xl2000="1" url="http://investing.money.msn.com/investments/stock-price?Symbol=ncr&amp;ocid=qbeb" htmlTables="1">
      <tables count="1">
        <x v="1"/>
      </tables>
    </webPr>
  </connection>
  <connection id="14" name="Connection20" type="4" refreshedVersion="3" background="1" saveData="1">
    <webPr sourceData="1" parsePre="1" consecutive="1" xl2000="1" url="http://investing.money.msn.com/investments/stock-price?Symbol=mrk&amp;ocid=qbeb" htmlTables="1">
      <tables count="1">
        <x v="1"/>
      </tables>
    </webPr>
  </connection>
  <connection id="15" name="Connection21" type="4" refreshedVersion="3" background="1" saveData="1">
    <webPr sourceData="1" parsePre="1" consecutive="1" xl2000="1" url="http://investing.money.msn.com/investments/stock-price?Symbol=ntii&amp;ocid=qbeb" htmlTables="1">
      <tables count="1">
        <x v="1"/>
      </tables>
    </webPr>
  </connection>
  <connection id="16" name="Connection22" type="4" refreshedVersion="3" background="1" saveData="1">
    <webPr sourceData="1" parsePre="1" consecutive="1" xl2000="1" url="http://investing.money.msn.com/investments/stock-price?Symbol=emis&amp;ocid=qbeb" htmlTables="1">
      <tables count="1">
        <x v="1"/>
      </tables>
    </webPr>
  </connection>
  <connection id="17" name="Connection23" type="4" refreshedVersion="3" background="1" saveData="1">
    <webPr sourceData="1" parsePre="1" consecutive="1" xl2000="1" url="http://investing.money.msn.com/investments/stock-price?Symbol=fgp&amp;ocid=qbeb" htmlTables="1">
      <tables count="1">
        <x v="1"/>
      </tables>
    </webPr>
  </connection>
  <connection id="18" name="Connection24" type="4" refreshedVersion="3" background="1" saveData="1">
    <webPr sourceData="1" parsePre="1" consecutive="1" xl2000="1" url="http://investing.money.msn.com/investments/stock-price?Symbol=pcg&amp;ocid=qbeb" htmlTables="1">
      <tables count="1">
        <x v="1"/>
      </tables>
    </webPr>
  </connection>
  <connection id="19" name="Connection25" type="4" refreshedVersion="3" background="1" saveData="1">
    <webPr sourceData="1" parsePre="1" consecutive="1" xl2000="1" url="http://investing.money.msn.com/investments/stock-price?Symbol=sne&amp;ocid=qbeb" htmlTables="1">
      <tables count="1">
        <x v="1"/>
      </tables>
    </webPr>
  </connection>
  <connection id="20" name="Connection26" type="4" refreshedVersion="3" background="1" saveData="1">
    <webPr sourceData="1" parsePre="1" consecutive="1" xl2000="1" url="http://investing.money.msn.com/investments/stock-price?Symbol=pcl&amp;ocid=qbeb" htmlTables="1">
      <tables count="1">
        <x v="1"/>
      </tables>
    </webPr>
  </connection>
  <connection id="21" name="Connection27" type="4" refreshedVersion="3" background="1" saveData="1">
    <webPr sourceData="1" parsePre="1" consecutive="1" xl2000="1" url="http://investing.money.msn.com/investments/stock-price?Symbol=apc&amp;ocid=qbeb" htmlTables="1">
      <tables count="1">
        <x v="1"/>
      </tables>
    </webPr>
  </connection>
  <connection id="22" name="Connection28" type="4" refreshedVersion="3" background="1" saveData="1">
    <webPr sourceData="1" parsePre="1" consecutive="1" xl2000="1" url="http://investing.money.msn.com/investments/stock-price?Symbol=kf&amp;ocid=qbeb" htmlTables="1">
      <tables count="1">
        <x v="1"/>
      </tables>
    </webPr>
  </connection>
  <connection id="23" name="Connection29" type="4" refreshedVersion="3" background="1" saveData="1">
    <webPr sourceData="1" parsePre="1" consecutive="1" xl2000="1" url="http://investing.money.msn.com/investments/stock-price?Symbol=dd&amp;ocid=qbeb" htmlTables="1">
      <tables count="1">
        <x v="1"/>
      </tables>
    </webPr>
  </connection>
  <connection id="24" name="Connection3" type="4" refreshedVersion="3" background="1" saveData="1">
    <webPr sourceData="1" parsePre="1" consecutive="1" xl2000="1" url="http://investing.money.msn.com/investments/stock-price?Symbol=bth&amp;ocid=qbeb" htmlTables="1">
      <tables count="1">
        <x v="1"/>
      </tables>
    </webPr>
  </connection>
  <connection id="25" name="Connection30" type="4" refreshedVersion="3" background="1" saveData="1">
    <webPr sourceData="1" parsePre="1" consecutive="1" xl2000="1" url="http://investing.money.msn.com/investments/stock-price?Symbol=ge&amp;ocid=qbeb" htmlTables="1">
      <tables count="1">
        <x v="1"/>
      </tables>
    </webPr>
  </connection>
  <connection id="26" name="Connection31" type="4" refreshedVersion="3" background="1" saveData="1">
    <webPr sourceData="1" parsePre="1" consecutive="1" xl2000="1" url="http://investing.money.msn.com/investments/stock-price?Symbol=wmt&amp;ocid=qbeb" htmlTables="1">
      <tables count="1">
        <x v="1"/>
      </tables>
    </webPr>
  </connection>
  <connection id="27" name="Connection32" type="4" refreshedVersion="3" background="1" saveData="1">
    <webPr sourceData="1" parsePre="1" consecutive="1" xl2000="1" url="http://investing.money.msn.com/investments/stock-price?Symbol=fmd&amp;ocid=qbeb" htmlTables="1">
      <tables count="1">
        <x v="1"/>
      </tables>
    </webPr>
  </connection>
  <connection id="28" name="Connection33" type="4" refreshedVersion="3" background="1" saveData="1">
    <webPr sourceData="1" parsePre="1" consecutive="1" xl2000="1" url="http://investing.money.msn.com/investments/stock-price?Symbol=vz&amp;ocid=qbeb" htmlTables="1">
      <tables count="1">
        <x v="1"/>
      </tables>
    </webPr>
  </connection>
  <connection id="29" name="Connection34" type="4" refreshedVersion="3" background="1" saveData="1">
    <webPr sourceData="1" parsePre="1" consecutive="1" xl2000="1" url="http://investing.money.msn.com/investments/stock-price?Symbol=bx&amp;ocid=qbeb" htmlTables="1">
      <tables count="1">
        <x v="1"/>
      </tables>
    </webPr>
  </connection>
  <connection id="30" name="Connection35" type="4" refreshedVersion="3" background="1" saveData="1">
    <webPr sourceData="1" parsePre="1" consecutive="1" xl2000="1" url="http://investing.money.msn.com/investments/stock-price?Symbol=roic&amp;ocid=qbeb" htmlTables="1">
      <tables count="1">
        <x v="1"/>
      </tables>
    </webPr>
  </connection>
  <connection id="31" name="Connection36" type="4" refreshedVersion="3" background="1" saveData="1">
    <webPr sourceData="1" parsePre="1" consecutive="1" xl2000="1" url="http://investing.money.msn.com/investments/etf-list/?symbol=fxa&amp;ocid=qbeb" htmlTables="1">
      <tables count="1">
        <x v="1"/>
      </tables>
    </webPr>
  </connection>
  <connection id="32" name="Connection37" type="4" refreshedVersion="3" background="1" saveData="1">
    <webPr sourceData="1" parsePre="1" consecutive="1" xl2000="1" url="http://investing.money.msn.com/investments/etf-list/?symbol=fxc&amp;ocid=qbeb" htmlTables="1">
      <tables count="1">
        <x v="1"/>
      </tables>
    </webPr>
  </connection>
  <connection id="33" name="Connection38" type="4" refreshedVersion="3" background="1" saveData="1">
    <webPr sourceData="1" parsePre="1" consecutive="1" xl2000="1" url="http://investing.money.msn.com/investments/etf-list/?symbol=fxe&amp;ocid=qbeb" htmlTables="1">
      <tables count="1">
        <x v="1"/>
      </tables>
    </webPr>
  </connection>
  <connection id="34" name="Connection39" type="4" refreshedVersion="3" background="1" saveData="1">
    <webPr sourceData="1" parsePre="1" consecutive="1" xl2000="1" url="http://investing.money.msn.com/investments/etf-list/?symbol=fxf&amp;ocid=qbeb" htmlTables="1">
      <tables count="1">
        <x v="1"/>
      </tables>
    </webPr>
  </connection>
  <connection id="35" name="Connection4" type="4" refreshedVersion="3" background="1" saveData="1">
    <webPr sourceData="1" parsePre="1" consecutive="1" xl2000="1" url="http://investing.money.msn.com/investments/stock-price?Symbol=gd&amp;ocid=qbeb" htmlTables="1">
      <tables count="1">
        <x v="1"/>
      </tables>
    </webPr>
  </connection>
  <connection id="36" name="Connection40" type="4" refreshedVersion="3" background="1" saveData="1">
    <webPr sourceData="1" parsePre="1" consecutive="1" xl2000="1" url="http://investing.money.msn.com/investments/etf-list/?symbol=fxy&amp;ocid=qbeb" htmlTables="1">
      <tables count="1">
        <x v="1"/>
      </tables>
    </webPr>
  </connection>
  <connection id="37" name="Connection41" type="4" refreshedVersion="3" background="1" saveData="1">
    <webPr sourceData="1" parsePre="1" consecutive="1" xl2000="1" url="http://investing.money.msn.com/investments/stock-price?Symbol=kmp&amp;ocid=qbeb" htmlTables="1">
      <tables count="1">
        <x v="1"/>
      </tables>
    </webPr>
  </connection>
  <connection id="38" name="Connection42" type="4" refreshedVersion="3" background="1" saveData="1">
    <webPr sourceData="1" parsePre="1" consecutive="1" xl2000="1" url="http://investing.money.msn.com/investments/etf-list/?symbol=slv&amp;ocid=qbeb" htmlTables="1">
      <tables count="1">
        <x v="1"/>
      </tables>
    </webPr>
  </connection>
  <connection id="39" name="Connection43" type="4" refreshedVersion="3" background="1" saveData="1">
    <webPr sourceData="1" parsePre="1" consecutive="1" xl2000="1" url="http://investing.money.msn.com/investments/etf-list/?symbol=gld&amp;ocid=qbeb" htmlTables="1">
      <tables count="1">
        <x v="1"/>
      </tables>
    </webPr>
  </connection>
  <connection id="40" name="Connection44" type="4" refreshedVersion="3" background="1" saveData="1">
    <webPr sourceData="1" parsePre="1" consecutive="1" xl2000="1" url="http://investing.money.msn.com/investments/stock-price?Symbol=gldd&amp;ocid=qbeb" htmlTables="1">
      <tables count="1">
        <x v="1"/>
      </tables>
    </webPr>
  </connection>
  <connection id="41" name="Connection45" type="4" refreshedVersion="3" background="1" saveData="1">
    <webPr sourceData="1" parsePre="1" consecutive="1" xl2000="1" url="http://investing.money.msn.com/investments/stock-price?Symbol=axp&amp;ocid=qbeb" htmlTables="1">
      <tables count="1">
        <x v="1"/>
      </tables>
    </webPr>
  </connection>
  <connection id="42" name="Connection46" type="4" refreshedVersion="3" background="1" saveData="1">
    <webPr sourceData="1" parsePre="1" consecutive="1" xl2000="1" url="http://investing.money.msn.com/investments/stock-price?Symbol=wfc&amp;ocid=qbeb" htmlTables="1">
      <tables count="1">
        <x v="1"/>
      </tables>
    </webPr>
  </connection>
  <connection id="43" name="Connection47" type="4" refreshedVersion="3" background="1" saveData="1">
    <webPr sourceData="1" parsePre="1" consecutive="1" xl2000="1" url="http://investing.money.msn.com/investments/stock-price?Symbol=pars&amp;ocid=qbeb" htmlTables="1">
      <tables count="1">
        <x v="1"/>
      </tables>
    </webPr>
  </connection>
  <connection id="44" name="Connection48" type="4" refreshedVersion="3" background="1" saveData="1">
    <webPr sourceData="1" parsePre="1" consecutive="1" xl2000="1" url="http://investing.money.msn.com/investments/stock-price?Symbol=depo&amp;ocid=qbeb" htmlTables="1">
      <tables count="1">
        <x v="1"/>
      </tables>
    </webPr>
  </connection>
  <connection id="45" name="Connection49" type="4" refreshedVersion="3" background="1" saveData="1">
    <webPr sourceData="1" parsePre="1" consecutive="1" xl2000="1" url="http://investing.money.msn.com/investments/stock-price?Symbol=infu&amp;ocid=qbeb" htmlTables="1">
      <tables count="1">
        <x v="1"/>
      </tables>
    </webPr>
  </connection>
  <connection id="46" name="Connection5" type="4" refreshedVersion="3" background="1" saveData="1">
    <webPr sourceData="1" parsePre="1" consecutive="1" xl2000="1" url="http://investing.money.msn.com/investments/stock-price?Symbol=jny&amp;ocid=qbeb" htmlTables="1">
      <tables count="1">
        <x v="1"/>
      </tables>
    </webPr>
  </connection>
  <connection id="47" name="Connection50" type="4" refreshedVersion="3" background="1" saveData="1">
    <webPr sourceData="1" parsePre="1" consecutive="1" xl2000="1" url="http://investing.money.msn.com/investments/stock-price?Symbol=aln&amp;ocid=qbeb" htmlTables="1">
      <tables count="1">
        <x v="1"/>
      </tables>
    </webPr>
  </connection>
  <connection id="48" name="Connection51" type="4" refreshedVersion="3" background="1" saveData="1">
    <webPr sourceData="1" parsePre="1" consecutive="1" xl2000="1" url="http://investing.money.msn.com/investments/stock-price?Symbol=dcth&amp;ocid=qbeb" htmlTables="1">
      <tables count="1">
        <x v="1"/>
      </tables>
    </webPr>
  </connection>
  <connection id="49" name="Connection52" type="4" refreshedVersion="3" background="1" saveData="1">
    <webPr sourceData="1" parsePre="1" consecutive="1" xl2000="1" url="http://investing.money.msn.com/investments/stock-price?Symbol=emis&amp;ocid=qbeb" htmlTables="1">
      <tables count="1">
        <x v="1"/>
      </tables>
    </webPr>
  </connection>
  <connection id="50" name="Connection53" type="4" refreshedVersion="3" background="1" saveData="1">
    <webPr sourceData="1" parsePre="1" consecutive="1" xl2000="1" url="http://investing.money.msn.com/investments/stock-price?Symbol=npsp&amp;ocid=qbeb" htmlTables="1">
      <tables count="1">
        <x v="1"/>
      </tables>
    </webPr>
  </connection>
  <connection id="51" name="Connection54" type="4" refreshedVersion="3" background="1" saveData="1">
    <webPr sourceData="1" parsePre="1" consecutive="1" xl2000="1" url="http://investing.money.msn.com/investments/stock-price?Symbol=cbrx&amp;ocid=qbeb" htmlTables="1">
      <tables count="1">
        <x v="1"/>
      </tables>
    </webPr>
  </connection>
  <connection id="52" name="Connection55" type="4" refreshedVersion="3" background="1" saveData="1">
    <webPr sourceData="1" parsePre="1" consecutive="1" xl2000="1" url="http://investing.money.msn.com/investments/stock-price?Symbol=cvv&amp;ocid=qbeb" htmlTables="1">
      <tables count="1">
        <x v="1"/>
      </tables>
    </webPr>
  </connection>
  <connection id="53" name="Connection56" type="4" refreshedVersion="3" background="1" saveData="1">
    <webPr sourceData="1" parsePre="1" consecutive="1" xl2000="1" url="http://investing.money.msn.com/investments/stock-price?Symbol=mrtx&amp;ocid=qbeb" htmlTables="1">
      <tables count="1">
        <x v="1"/>
      </tables>
    </webPr>
  </connection>
  <connection id="54" name="Connection57" type="4" refreshedVersion="3" background="1" saveData="1">
    <webPr sourceData="1" parsePre="1" consecutive="1" xl2000="1" url="http://investing.money.msn.com/investments/stock-price?Symbol=ttnp&amp;ocid=qbeb" htmlTables="1">
      <tables count="1">
        <x v="1"/>
      </tables>
    </webPr>
  </connection>
  <connection id="55" name="Connection58" type="4" refreshedVersion="3" background="1" saveData="1">
    <webPr sourceData="1" parsePre="1" consecutive="1" xl2000="1" url="http://investing.money.msn.com/investments/stock-price?Symbol=dvax&amp;ocid=qbeb" htmlTables="1">
      <tables count="1">
        <x v="1"/>
      </tables>
    </webPr>
  </connection>
  <connection id="56" name="Connection59" type="4" refreshedVersion="3" background="1" saveData="1">
    <webPr sourceData="1" parsePre="1" consecutive="1" xl2000="1" url="http://investing.money.msn.com/investments/stock-price?Symbol=siga&amp;ocid=qbeb" htmlTables="1">
      <tables count="1">
        <x v="1"/>
      </tables>
    </webPr>
  </connection>
  <connection id="57" name="Connection6" type="4" refreshedVersion="3" background="1" saveData="1">
    <webPr sourceData="1" parsePre="1" consecutive="1" xl2000="1" url="http://investing.money.msn.com/investments/stock-price?Symbol=usb&amp;ocid=qbeb" htmlTables="1">
      <tables count="1">
        <x v="1"/>
      </tables>
    </webPr>
  </connection>
  <connection id="58" name="Connection60" type="4" refreshedVersion="3" background="1" saveData="1">
    <webPr sourceData="1" parsePre="1" consecutive="1" xl2000="1" url="http://investing.money.msn.com/investments/stock-price?Symbol=alu&amp;ocid=qbeb" htmlTables="1">
      <tables count="1">
        <x v="1"/>
      </tables>
    </webPr>
  </connection>
  <connection id="59" name="Connection61" type="4" refreshedVersion="3" background="1" saveData="1">
    <webPr sourceData="1" parsePre="1" consecutive="1" xl2000="1" url="http://investing.money.msn.com/investments/stock-price?Symbol=smbc&amp;ocid=qbeb" htmlTables="1">
      <tables count="1">
        <x v="1"/>
      </tables>
    </webPr>
  </connection>
  <connection id="60" name="Connection62" type="4" refreshedVersion="3" background="1" saveData="1">
    <webPr sourceData="1" parsePre="1" consecutive="1" xl2000="1" url="http://investing.money.msn.com/investments/stock-price?Symbol=bkutk&amp;ocid=qbeb" htmlTables="1">
      <tables count="1">
        <x v="1"/>
      </tables>
    </webPr>
  </connection>
  <connection id="61" name="Connection63" type="4" refreshedVersion="3" background="1" saveData="1">
    <webPr sourceData="1" parsePre="1" consecutive="1" xl2000="1" url="http://investing.money.msn.com/investments/stock-price?Symbol=paa&amp;ocid=qbeb" htmlTables="1">
      <tables count="1">
        <x v="1"/>
      </tables>
    </webPr>
  </connection>
  <connection id="62" name="Connection64" type="4" refreshedVersion="3" background="1" saveData="1">
    <webPr sourceData="1" parsePre="1" consecutive="1" xl2000="1" url="http://investing.money.msn.com/investments/stock-price?Symbol=oks&amp;ocid=qbeb" htmlTables="1">
      <tables count="1">
        <x v="1"/>
      </tables>
    </webPr>
  </connection>
  <connection id="63" name="Connection65" type="4" refreshedVersion="3" background="1" saveData="1">
    <webPr sourceData="1" parsePre="1" consecutive="1" xl2000="1" url="http://investing.money.msn.com/investments/stock-price?Symbol=mwe&amp;ocid=qbeb" htmlTables="1">
      <tables count="1">
        <x v="1"/>
      </tables>
    </webPr>
  </connection>
  <connection id="64" name="Connection66" type="4" refreshedVersion="3" background="1" saveData="1">
    <webPr sourceData="1" parsePre="1" consecutive="1" xl2000="1" url="http://investing.money.msn.com/investments/stock-price?Symbol=pvr&amp;ocid=qbeb" htmlTables="1">
      <tables count="1">
        <x v="1"/>
      </tables>
    </webPr>
  </connection>
  <connection id="65" name="Connection67" type="4" refreshedVersion="3" background="1" saveData="1">
    <webPr sourceData="1" parsePre="1" consecutive="1" xl2000="1" url="http://investing.money.msn.com/investments/stock-price?Symbol=too&amp;ocid=qbeb" htmlTables="1">
      <tables count="1">
        <x v="1"/>
      </tables>
    </webPr>
  </connection>
  <connection id="66" name="Connection68" type="4" refreshedVersion="3" background="1" saveData="1">
    <webPr sourceData="1" parsePre="1" consecutive="1" xl2000="1" url="http://investing.money.msn.com/investments/stock-price?symbol=cmlp&amp;ocid=qbeb" htmlTables="1">
      <tables count="1">
        <x v="1"/>
      </tables>
    </webPr>
  </connection>
  <connection id="67" name="Connection69" type="4" refreshedVersion="3" background="1" saveData="1">
    <webPr sourceData="1" parsePre="1" consecutive="1" xl2000="1" url="http://investing.money.msn.com/investments/stock-price?Symbol=etrm&amp;ocid=qbeb" htmlTables="1">
      <tables count="1">
        <x v="1"/>
      </tables>
    </webPr>
  </connection>
  <connection id="68" name="Connection7" type="4" refreshedVersion="3" background="1" saveData="1">
    <webPr sourceData="1" parsePre="1" consecutive="1" xl2000="1" url="http://investing.money.msn.com/investments/stock-price?Symbol=vno&amp;ocid=qbeb" htmlTables="1">
      <tables count="1">
        <x v="1"/>
      </tables>
    </webPr>
  </connection>
  <connection id="69" name="Connection70" type="4" refreshedVersion="3" background="1" saveData="1">
    <webPr sourceData="1" parsePre="1" consecutive="1" xl2000="1" url="http://investing.money.msn.com/investments/stock-price?Symbol=soda&amp;ocid=qbeb" htmlTables="1">
      <tables count="1">
        <x v="1"/>
      </tables>
    </webPr>
  </connection>
  <connection id="70" name="Connection71" type="4" refreshedVersion="3" background="1" saveData="1">
    <webPr sourceData="1" parsePre="1" consecutive="1" xl2000="1" url="http://investing.money.msn.com/investments/stock-price?Symbol=kyth&amp;ocid=qbeb" htmlTables="1">
      <tables count="1">
        <x v="1"/>
      </tables>
    </webPr>
  </connection>
  <connection id="71" name="Connection72" type="4" refreshedVersion="3" background="1" saveData="1">
    <webPr sourceData="1" parsePre="1" consecutive="1" xl2000="1" url="http://investing.money.msn.com/investments/stock-price?Symbol=nktr&amp;ocid=qbeb" htmlTables="1">
      <tables count="1">
        <x v="1"/>
      </tables>
    </webPr>
  </connection>
  <connection id="72" name="Connection73" type="4" refreshedVersion="3" background="1" saveData="1">
    <webPr sourceData="1" parsePre="1" consecutive="1" xl2000="1" url="http://investing.money.msn.com/investments/stock-price?Symbol=boref&amp;ocid=qbeb" htmlTables="1">
      <tables count="1">
        <x v="1"/>
      </tables>
    </webPr>
  </connection>
  <connection id="73" name="Connection74" type="4" refreshedVersion="3" background="1" saveData="1">
    <webPr sourceData="1" parsePre="1" consecutive="1" xl2000="1" url="http://investing.money.msn.com/investments/stock-price?Symbol=roicw&amp;ocid=qbeb" htmlTables="1">
      <tables count="1">
        <x v="1"/>
      </tables>
    </webPr>
  </connection>
  <connection id="74" name="Connection75" type="4" refreshedVersion="3" background="1" saveData="1">
    <webPr sourceData="1" parsePre="1" consecutive="1" xl2000="1" url="http://investing.money.msn.com/investments/etf-list/?symbol=spy&amp;ocid=qbeb" htmlTables="1">
      <tables count="1">
        <x v="1"/>
      </tables>
    </webPr>
  </connection>
  <connection id="75" name="Connection8" type="4" refreshedVersion="3" background="1" saveData="1">
    <webPr sourceData="1" parsePre="1" consecutive="1" xl2000="1" url="http://investing.money.msn.com/investments/stock-price?Symbol=bfs&amp;ocid=qbeb" htmlTables="1">
      <tables count="1">
        <x v="1"/>
      </tables>
    </webPr>
  </connection>
  <connection id="76" name="Connection9" type="4" refreshedVersion="3" background="1" saveData="1">
    <webPr sourceData="1" parsePre="1" consecutive="1" xl2000="1" url="http://investing.money.msn.com/investments/mutual-fund-rates/?symbol=vgsix&amp;ocid=qbeb" htmlTables="1">
      <tables count="1">
        <s v="details"/>
      </tables>
    </webPr>
  </connection>
</connections>
</file>

<file path=xl/sharedStrings.xml><?xml version="1.0" encoding="utf-8"?>
<sst xmlns="http://schemas.openxmlformats.org/spreadsheetml/2006/main" count="2363" uniqueCount="643">
  <si>
    <t>Symbol</t>
  </si>
  <si>
    <t>Name</t>
  </si>
  <si>
    <t>Recommendation</t>
  </si>
  <si>
    <t>Years</t>
  </si>
  <si>
    <t>Date of Recommendation</t>
  </si>
  <si>
    <t>Price on Date of Recommendation</t>
  </si>
  <si>
    <t>Link to Recommendation</t>
  </si>
  <si>
    <t>Result of $1,000 Initial Investment</t>
  </si>
  <si>
    <t>T. Rowe Price Global Stock Fund</t>
  </si>
  <si>
    <t>PRGSX</t>
  </si>
  <si>
    <t>Buy</t>
  </si>
  <si>
    <t>http://www.andrewtobias.com/bkoldcolumns/961226.html</t>
  </si>
  <si>
    <t xml:space="preserve">NCR </t>
  </si>
  <si>
    <t>NCR Corporation</t>
  </si>
  <si>
    <t>http://www.andrewtobias.com/bkoldcolumns/970109.html</t>
  </si>
  <si>
    <t>Total Split Factor</t>
  </si>
  <si>
    <t>Notes</t>
  </si>
  <si>
    <t>spun off Teradata in 2007; assumes holding Teradata stock</t>
  </si>
  <si>
    <t>AFC (Bangcock)</t>
  </si>
  <si>
    <t>Asia Fiber</t>
  </si>
  <si>
    <t>IDTI</t>
  </si>
  <si>
    <t>Integrated Device Technology</t>
  </si>
  <si>
    <t>GM</t>
  </si>
  <si>
    <t>General Motors</t>
  </si>
  <si>
    <t>AMZN</t>
  </si>
  <si>
    <t>Amazon.com</t>
  </si>
  <si>
    <t>Short</t>
  </si>
  <si>
    <t>BOREF</t>
  </si>
  <si>
    <t>Borealis</t>
  </si>
  <si>
    <t>CN</t>
  </si>
  <si>
    <t>Calton Homes</t>
  </si>
  <si>
    <t>BTH</t>
  </si>
  <si>
    <t>Blyth</t>
  </si>
  <si>
    <t>GD</t>
  </si>
  <si>
    <t>General Dynamics</t>
  </si>
  <si>
    <t>JNY</t>
  </si>
  <si>
    <t>Jones Apparel</t>
  </si>
  <si>
    <t>USB</t>
  </si>
  <si>
    <t>US Bancorp</t>
  </si>
  <si>
    <t>VNO</t>
  </si>
  <si>
    <t>Vornado</t>
  </si>
  <si>
    <t>BFS</t>
  </si>
  <si>
    <t>BF Saul</t>
  </si>
  <si>
    <t>VGSIX</t>
  </si>
  <si>
    <t>Vanguard REIT Index</t>
  </si>
  <si>
    <t>MSFT</t>
  </si>
  <si>
    <t>Microsoft</t>
  </si>
  <si>
    <t>MCK</t>
  </si>
  <si>
    <t>McKesson</t>
  </si>
  <si>
    <t>CSPLF</t>
  </si>
  <si>
    <t>Canadian Southern Petroleum</t>
  </si>
  <si>
    <t>CMM</t>
  </si>
  <si>
    <t>Crimii Mae</t>
  </si>
  <si>
    <t>NPK</t>
  </si>
  <si>
    <t>National Presto Kit</t>
  </si>
  <si>
    <t>JNPR</t>
  </si>
  <si>
    <t>Juniper Networks</t>
  </si>
  <si>
    <t>MVC</t>
  </si>
  <si>
    <t>MVC Capital</t>
  </si>
  <si>
    <t>Great Atlantic &amp; Pacific Preferred</t>
  </si>
  <si>
    <t>GAJ</t>
  </si>
  <si>
    <t>BA</t>
  </si>
  <si>
    <t>Boeing</t>
  </si>
  <si>
    <t>AMR</t>
  </si>
  <si>
    <t>American Airlines</t>
  </si>
  <si>
    <t>United Airlines</t>
  </si>
  <si>
    <t>UAL</t>
  </si>
  <si>
    <t>HMC</t>
  </si>
  <si>
    <t>Honda Motor</t>
  </si>
  <si>
    <t>AN</t>
  </si>
  <si>
    <t>Autonation</t>
  </si>
  <si>
    <t>BMRN</t>
  </si>
  <si>
    <t>Pharmaceuticals</t>
  </si>
  <si>
    <t>C</t>
  </si>
  <si>
    <t>Citigroup</t>
  </si>
  <si>
    <t>EPN</t>
  </si>
  <si>
    <t>JNJ</t>
  </si>
  <si>
    <t>Johnson &amp; Johnson</t>
  </si>
  <si>
    <t>MRK</t>
  </si>
  <si>
    <t>Merck</t>
  </si>
  <si>
    <t>NTII</t>
  </si>
  <si>
    <t>Neurobiological Technologies</t>
  </si>
  <si>
    <t>EMIS</t>
  </si>
  <si>
    <t>Emisphere Technologies</t>
  </si>
  <si>
    <t>HGSI</t>
  </si>
  <si>
    <t>Human Genome Sciences</t>
  </si>
  <si>
    <t>NLY</t>
  </si>
  <si>
    <t>Annaly</t>
  </si>
  <si>
    <t>PCG</t>
  </si>
  <si>
    <t>PG&amp;E</t>
  </si>
  <si>
    <t>SNE</t>
  </si>
  <si>
    <t>Sony</t>
  </si>
  <si>
    <t>PCL</t>
  </si>
  <si>
    <t>Plum Creek Timber</t>
  </si>
  <si>
    <t>CICI</t>
  </si>
  <si>
    <t>ILA</t>
  </si>
  <si>
    <t>Communication Intelligence</t>
  </si>
  <si>
    <t>Sold 1/3 for 63 cents and 1/3 for 98 cents</t>
  </si>
  <si>
    <t>EPD</t>
  </si>
  <si>
    <t>Enterprise Products Partners</t>
  </si>
  <si>
    <t>FGP</t>
  </si>
  <si>
    <t>Ferrelgas Partners</t>
  </si>
  <si>
    <t>APC</t>
  </si>
  <si>
    <t>Anadarko Petroleum</t>
  </si>
  <si>
    <t>SYM</t>
  </si>
  <si>
    <t>Syms</t>
  </si>
  <si>
    <t>TXCO</t>
  </si>
  <si>
    <t>YUKOY</t>
  </si>
  <si>
    <t>Yukos</t>
  </si>
  <si>
    <t>ARC (REIT)</t>
  </si>
  <si>
    <t>recommend sell half up 49% on 11/29/04</t>
  </si>
  <si>
    <t>KF</t>
  </si>
  <si>
    <t>Korea Fund</t>
  </si>
  <si>
    <t>Comcast</t>
  </si>
  <si>
    <t>AXP</t>
  </si>
  <si>
    <t>American Express</t>
  </si>
  <si>
    <t>$1 dividend. Maybe sell half for $14 6/23/2005</t>
  </si>
  <si>
    <t>CBH</t>
  </si>
  <si>
    <t>DD</t>
  </si>
  <si>
    <t>Dupont</t>
  </si>
  <si>
    <t>GE</t>
  </si>
  <si>
    <t>General Electric</t>
  </si>
  <si>
    <t>LEA</t>
  </si>
  <si>
    <t>sell 1/3/2006 down 30% with dividends included</t>
  </si>
  <si>
    <t>WMT</t>
  </si>
  <si>
    <t>Walmart</t>
  </si>
  <si>
    <t>sell half @6.56 on 9/29/05 but then retracted so don't count; sell 3/4 at 11.11 on 2/7/2006</t>
  </si>
  <si>
    <t>FMD</t>
  </si>
  <si>
    <t>First Marblehead</t>
  </si>
  <si>
    <t>VZ</t>
  </si>
  <si>
    <t>Verizon</t>
  </si>
  <si>
    <t>Bought out at 13.10 10/18/2006</t>
  </si>
  <si>
    <t>sell half 7/7/2006 for 10.64; bought out at 13.10 10/18/2006</t>
  </si>
  <si>
    <t>sold some 4/26/07</t>
  </si>
  <si>
    <t>Washington Mutual</t>
  </si>
  <si>
    <t>BX</t>
  </si>
  <si>
    <t>TRBR</t>
  </si>
  <si>
    <t>Travel Bridge</t>
  </si>
  <si>
    <t>BZ</t>
  </si>
  <si>
    <t>RSW</t>
  </si>
  <si>
    <t>CPNO</t>
  </si>
  <si>
    <t>ALTU</t>
  </si>
  <si>
    <t>Landry's Restaurant</t>
  </si>
  <si>
    <t>SDS</t>
  </si>
  <si>
    <t>TBT</t>
  </si>
  <si>
    <t>sell half 10/10/2008; sell rest for 140 12/31/2008</t>
  </si>
  <si>
    <t>sell 1/5/2009</t>
  </si>
  <si>
    <t>GLDD</t>
  </si>
  <si>
    <t>WFC</t>
  </si>
  <si>
    <t>TKF</t>
  </si>
  <si>
    <t>sell half 4/10/2009</t>
  </si>
  <si>
    <t>CRTX</t>
  </si>
  <si>
    <t>sold some/all 5/20/2009</t>
  </si>
  <si>
    <t>sell for 68 cents 6/11/2009</t>
  </si>
  <si>
    <t>INCY</t>
  </si>
  <si>
    <t>re-recommend; sell 6/15/2009 on Barrons pan with hope of rebuying lower</t>
  </si>
  <si>
    <t>sell 6/24/2009</t>
  </si>
  <si>
    <t>PARS</t>
  </si>
  <si>
    <t>PRGX</t>
  </si>
  <si>
    <t>sold 7/28/2009</t>
  </si>
  <si>
    <t>AVNR</t>
  </si>
  <si>
    <t>JAV</t>
  </si>
  <si>
    <t>sell half 8/24/2009; sell rest? 10/1/2009</t>
  </si>
  <si>
    <t>DEPO</t>
  </si>
  <si>
    <t>sell half 8/5/2009; sell rest 10/15/2009</t>
  </si>
  <si>
    <t>DNDN</t>
  </si>
  <si>
    <t>20 jan 2011 puts</t>
  </si>
  <si>
    <t>buy</t>
  </si>
  <si>
    <t>DYAX</t>
  </si>
  <si>
    <t>INHI</t>
  </si>
  <si>
    <t>GLD</t>
  </si>
  <si>
    <t>ALN</t>
  </si>
  <si>
    <t>BRCI</t>
  </si>
  <si>
    <t>sold 1/8/2010</t>
  </si>
  <si>
    <t>DCTH</t>
  </si>
  <si>
    <t>NBIX</t>
  </si>
  <si>
    <t>ROIC</t>
  </si>
  <si>
    <t>sell half 7/2/2009; sell a little more 10/8/2009 sell rest 4/19/2010</t>
  </si>
  <si>
    <t>SLV</t>
  </si>
  <si>
    <t>sold 9/8/2010</t>
  </si>
  <si>
    <t>DFZ</t>
  </si>
  <si>
    <t>TTT</t>
  </si>
  <si>
    <t>sell? 9/28/2010. definitively sell 10/5/2010</t>
  </si>
  <si>
    <t>AFOP(D)</t>
  </si>
  <si>
    <t>ALXA</t>
  </si>
  <si>
    <t>KERX</t>
  </si>
  <si>
    <t>NPSP</t>
  </si>
  <si>
    <t>OSIR</t>
  </si>
  <si>
    <t>VVUS</t>
  </si>
  <si>
    <t>SUPG</t>
  </si>
  <si>
    <t>CRME</t>
  </si>
  <si>
    <t>YMI</t>
  </si>
  <si>
    <t>sell half 10/29/2010; sell half 12/7/2010; sell more 1/6/2011</t>
  </si>
  <si>
    <t>FVVAX</t>
  </si>
  <si>
    <t>FNSAX</t>
  </si>
  <si>
    <t>FNVAX</t>
  </si>
  <si>
    <t>FNAAX</t>
  </si>
  <si>
    <t>sell 1/4? 3/8/2010; sell more 10/14/2010; sell 1/13/2011; sell 2/2/2011</t>
  </si>
  <si>
    <t>sell 1/3 11/10/2010; sell 2/9/2011</t>
  </si>
  <si>
    <t>CBRX</t>
  </si>
  <si>
    <t>sell half 11/23/2010; sell rest 2/18/2011</t>
  </si>
  <si>
    <t>CVV</t>
  </si>
  <si>
    <t>AMRN</t>
  </si>
  <si>
    <t>sell some 4/13/2011</t>
  </si>
  <si>
    <t>FCSC</t>
  </si>
  <si>
    <t>NABI</t>
  </si>
  <si>
    <t>put in a good til cancel order to sell some at 18.50; sell half 4/28/2011; sell rest 6/3/2011</t>
  </si>
  <si>
    <t>re-recommend</t>
  </si>
  <si>
    <t>sell 6/27/2011</t>
  </si>
  <si>
    <t>TTNP</t>
  </si>
  <si>
    <t>DVAX</t>
  </si>
  <si>
    <t>SIGA</t>
  </si>
  <si>
    <t>ALU</t>
  </si>
  <si>
    <t>ITMN</t>
  </si>
  <si>
    <t>sell 9/22/2011</t>
  </si>
  <si>
    <t>SMBC</t>
  </si>
  <si>
    <t>sell? 10/28/2011</t>
  </si>
  <si>
    <t>sell 11/18/2011</t>
  </si>
  <si>
    <t>sell 12/13/2011</t>
  </si>
  <si>
    <t>changed to ASDX; sold 1/31/2012</t>
  </si>
  <si>
    <t>sell 1/31/2012</t>
  </si>
  <si>
    <t>BKUTK</t>
  </si>
  <si>
    <t>sell 2/16/2012</t>
  </si>
  <si>
    <t>sell 3/6/2012</t>
  </si>
  <si>
    <t>http://andrewtobias.com/column/boeing-bangkok-buddha-part-i/</t>
  </si>
  <si>
    <t>Assuming sell half for $20 (double) and half for $40</t>
  </si>
  <si>
    <t>http://andrewtobias.com/column/an-idti-bit-of-hindsight/</t>
  </si>
  <si>
    <t>Cover 5/28/1999</t>
  </si>
  <si>
    <t>http://andrewtobias.com/column/amazonstratosphere/</t>
  </si>
  <si>
    <t>http://andrewtobias.com/column/amazons-little-uptick/</t>
  </si>
  <si>
    <t>http://andrewtobias.com/column/where-do-you-find-a-company-like-dep/</t>
  </si>
  <si>
    <t>Assume sell half at 2.50 and half at 4</t>
  </si>
  <si>
    <t>http://andrewtobias.com/column/a-stock-thats/</t>
  </si>
  <si>
    <t>LOL</t>
  </si>
  <si>
    <t>http://andrewtobias.com/column/five-stocks-you-should-consider/</t>
  </si>
  <si>
    <t>shares purchased</t>
  </si>
  <si>
    <t>Dividends</t>
  </si>
  <si>
    <t>Value of Spinoffs</t>
  </si>
  <si>
    <t>% Return</t>
  </si>
  <si>
    <t>Annualized % Return</t>
  </si>
  <si>
    <t>YCC</t>
  </si>
  <si>
    <t>Yankee Candle</t>
  </si>
  <si>
    <t>Acquired for 34.75 cash 10/25/2006</t>
  </si>
  <si>
    <t>http://andrewtobias.com/column/real-estate-investment-trusts/</t>
  </si>
  <si>
    <t>Cover 6/26/2000</t>
  </si>
  <si>
    <t>http://andrewtobias.com/column/whats-170-worth/</t>
  </si>
  <si>
    <t>http://andrewtobias.com/column/who-wants-to-be-a-millionaire/</t>
  </si>
  <si>
    <t>bought out for $20 10/6/2005</t>
  </si>
  <si>
    <t>http://andrewtobias.com/column/how-to-de-seed-watermelon/</t>
  </si>
  <si>
    <t>http://andrewtobias.com/column/the-market-collapse/</t>
  </si>
  <si>
    <t>http://andrewtobias.com/column/closed-end-funds-iii/</t>
  </si>
  <si>
    <t>NTMD</t>
  </si>
  <si>
    <t>NitroMed</t>
  </si>
  <si>
    <t>Blackstone</t>
  </si>
  <si>
    <t>Dividends and spinoffs of Raytheon, Hughes/DirecTV keep this from being a total loss</t>
  </si>
  <si>
    <t>http://andrewtobias.com/column/gm-card-lunacy/</t>
  </si>
  <si>
    <t>assume covering the following December at about $20 for a long term gain at a reasonable cover price</t>
  </si>
  <si>
    <t>sold 1/2/2002</t>
  </si>
  <si>
    <t>http://andrewtobias.com/column/kids-and-money/</t>
  </si>
  <si>
    <t>sold 3/14/2002</t>
  </si>
  <si>
    <t>http://andrewtobias.com/column/letter-from-an-afghan/</t>
  </si>
  <si>
    <t>http://andrewtobias.com/column/an-stock-to-consider/</t>
  </si>
  <si>
    <t>http://andrewtobias.com/column/three-little-speculations/</t>
  </si>
  <si>
    <t>sold 11/1/2002</t>
  </si>
  <si>
    <t>http://andrewtobias.com/column/time-to-nibble-i-bought-stocks-today/</t>
  </si>
  <si>
    <t>includes spinoff of medco which subsequently merged with express scripts</t>
  </si>
  <si>
    <t>http://andrewtobias.com/column/caesar-tivo-seasons-picks-aol/</t>
  </si>
  <si>
    <t>http://andrewtobias.com/column/time-to-rebalance/</t>
  </si>
  <si>
    <t>http://andrewtobias.com/column/a-1485-yield/</t>
  </si>
  <si>
    <t>http://andrewtobias.com/column/cell-hotelscom-buy-jet-blue/</t>
  </si>
  <si>
    <t>http://andrewtobias.com/column/and-now-a-word-or-two-about-money/</t>
  </si>
  <si>
    <t>http://andrewtobias.com/column/wood/</t>
  </si>
  <si>
    <t>http://andrewtobias.com/column/year-end-tax-selling-and-buying/</t>
  </si>
  <si>
    <t>sell 2/16/2004</t>
  </si>
  <si>
    <t>http://andrewtobias.com/column/buy-sell-marry/</t>
  </si>
  <si>
    <t>http://andrewtobias.com/column/if-you-own-no-oil-stocks/</t>
  </si>
  <si>
    <t>http://andrewtobias.com/column/where-to-put-your-money-now/</t>
  </si>
  <si>
    <t>http://andrewtobias.com/column/bombs-breasts-and-an-88-yield/</t>
  </si>
  <si>
    <t>http://andrewtobias.com/column/dont-mess-with-texas-really/</t>
  </si>
  <si>
    <t>ARC</t>
  </si>
  <si>
    <t>sell 10/15/2004</t>
  </si>
  <si>
    <t>CMCSA</t>
  </si>
  <si>
    <t>http://andrewtobias.com/column/finally-some-financial-advice/</t>
  </si>
  <si>
    <t>http://andrewtobias.com/column/visit-the-monkeysphere/</t>
  </si>
  <si>
    <t>http://andrewtobias.com/column/boring-money-stuff/</t>
  </si>
  <si>
    <t>Commerce Bancorp</t>
  </si>
  <si>
    <t>Lear Corp</t>
  </si>
  <si>
    <t>http://andrewtobias.com/column/good-deals-and-turkey-drippings/</t>
  </si>
  <si>
    <t>http://andrewtobias.com/column/how-do-the-locusts-know/</t>
  </si>
  <si>
    <t>http://andrewtobias.com/column/old-news-new-observations/</t>
  </si>
  <si>
    <t>http://andrewtobias.com/bkoldcolumns/060303.html</t>
  </si>
  <si>
    <t>sold half 7/11/2007; rebought half 8/28/2007. I'm simplifying by just adjusting the initial cost basis because the position was re-established so quickly</t>
  </si>
  <si>
    <t>sell half 9/30/2005; sell other half 8/28/2006</t>
  </si>
  <si>
    <t>http://andrewtobias.com/bkoldcolumns/060828.html</t>
  </si>
  <si>
    <t>WAMU</t>
  </si>
  <si>
    <t>http://andrewtobias.com/column/wamu-citi-and-chase/</t>
  </si>
  <si>
    <t>http://andrewtobias.com/column/equality/</t>
  </si>
  <si>
    <t>Inverse x 2 S&amp;P 500</t>
  </si>
  <si>
    <t>Boise Paper</t>
  </si>
  <si>
    <t>http://andrewtobias.com/column/spacs/</t>
  </si>
  <si>
    <t>http://andrewtobias.com/column/fight-fiercely-harvard/</t>
  </si>
  <si>
    <t>Copano Energy</t>
  </si>
  <si>
    <t>http://andrewtobias.com/column/well-you-asked/</t>
  </si>
  <si>
    <t>ProShares Ultra Short S&amp;P 500</t>
  </si>
  <si>
    <t>ProShares Ultra Short 20+ treas</t>
  </si>
  <si>
    <t>http://andrewtobias.com/column/tbt/</t>
  </si>
  <si>
    <t>iShares Silver</t>
  </si>
  <si>
    <t>http://andrewtobias.com/column/jitterbug/</t>
  </si>
  <si>
    <t>SPDR Gold shares</t>
  </si>
  <si>
    <t>Great Lakes Dredge &amp; Dock</t>
  </si>
  <si>
    <t>http://andrewtobias.com/column/simply-put/</t>
  </si>
  <si>
    <t>http://andrewtobias.com/column/the-world-may-not-end/</t>
  </si>
  <si>
    <t>Wells Fargo</t>
  </si>
  <si>
    <t>Turkish Fund</t>
  </si>
  <si>
    <t>http://andrewtobias.com/column/live-longer/</t>
  </si>
  <si>
    <t>Cornerstone Theraputics</t>
  </si>
  <si>
    <t>http://andrewtobias.com/column/money-thoughts/</t>
  </si>
  <si>
    <t>Incyte Corporation</t>
  </si>
  <si>
    <t>http://andrewtobias.com/column/this-bus-is-getting-crowded/</t>
  </si>
  <si>
    <t>http://andrewtobias.com/column/yesterday-3/</t>
  </si>
  <si>
    <t>Pharmos Corp</t>
  </si>
  <si>
    <t>http://andrewtobias.com/column/six-months/</t>
  </si>
  <si>
    <t>PRGX Global</t>
  </si>
  <si>
    <t>http://andrewtobias.com/column/oona/</t>
  </si>
  <si>
    <t>Avanir Pharmaceuticals</t>
  </si>
  <si>
    <t>http://andrewtobias.com/column/worried-but-enjoying-it/</t>
  </si>
  <si>
    <t>DepoMed</t>
  </si>
  <si>
    <t>http://andrewtobias.com/column/back-to-the-tea-party/</t>
  </si>
  <si>
    <t>http://andrewtobias.com/column/marching-in-dc-vibrating-in-alabama/</t>
  </si>
  <si>
    <t>http://andrewtobias.com/column/a-more-perfect-union-a-basket-of-speculations/</t>
  </si>
  <si>
    <t>Dyax Corp</t>
  </si>
  <si>
    <t>http://andrewtobias.com/column/sober-stuff/</t>
  </si>
  <si>
    <t>American Lorain Corp</t>
  </si>
  <si>
    <t>http://andrewtobias.com/column/citizens-for-apple-pie-and-motherhood/</t>
  </si>
  <si>
    <t>http://andrewtobias.com/column/optimism-2/</t>
  </si>
  <si>
    <t>Delcath Systems</t>
  </si>
  <si>
    <t>http://andrewtobias.com/column/tall-politicians/</t>
  </si>
  <si>
    <t>http://andrewtobias.com/column/liberals-for-deregulation/</t>
  </si>
  <si>
    <t>http://andrewtobias.com/column/huge-good-news/</t>
  </si>
  <si>
    <t>http://andrewtobias.com/column/vancouver-v-virginia/</t>
  </si>
  <si>
    <t>http://andrewtobias.com/column/a-little-light-music/</t>
  </si>
  <si>
    <t>Neurocrine Biosciences</t>
  </si>
  <si>
    <t>Retail Opportunity Inv Corp</t>
  </si>
  <si>
    <t>http://andrewtobias.com/column/as-if-you-had-any-money-left-you-could-truly-afford-to-lose/</t>
  </si>
  <si>
    <t>http://andrewtobias.com/column/brave-new-world/</t>
  </si>
  <si>
    <t>http://andrewtobias.com/column/must-see-pavement-tv/</t>
  </si>
  <si>
    <t>http://andrewtobias.com/column/all-17-newspaper-editorial-boards/</t>
  </si>
  <si>
    <t>http://andrewtobias.com/column/plouffe-lays-it-out/</t>
  </si>
  <si>
    <t>R.G. Barry Corporation</t>
  </si>
  <si>
    <t>Alliance Fiberoptic Products</t>
  </si>
  <si>
    <t>http://andrewtobias.com/column/confidence-and-taxes/</t>
  </si>
  <si>
    <t>Alexza Pharmaceuticals</t>
  </si>
  <si>
    <t>Keryx Biopharmaceuticals</t>
  </si>
  <si>
    <t>NSP Pharmaceuticals</t>
  </si>
  <si>
    <t>Osiris Theraputics Inc</t>
  </si>
  <si>
    <t>Vivus Inc</t>
  </si>
  <si>
    <t>changed to ASTX</t>
  </si>
  <si>
    <t>YM Biosciences</t>
  </si>
  <si>
    <t>http://andrewtobias.com/column/price-war/</t>
  </si>
  <si>
    <t>Formula Investing US Value 1000</t>
  </si>
  <si>
    <t>http://andrewtobias.com/column/four-mutual-funds/</t>
  </si>
  <si>
    <t>Formula Investing US Value Sel</t>
  </si>
  <si>
    <t>Formula Investing Intl Value 400</t>
  </si>
  <si>
    <t>Formula Investing Intl Value Sel</t>
  </si>
  <si>
    <t>Columbia Laboratories</t>
  </si>
  <si>
    <t>http://andrewtobias.com/column/if-ike-had-had-two-moms/</t>
  </si>
  <si>
    <t>CVD Equipment Corp</t>
  </si>
  <si>
    <t>http://andrewtobias.com/column/cvv-worth-1708/</t>
  </si>
  <si>
    <t>Amarin Corp</t>
  </si>
  <si>
    <t>http://andrewtobias.com/column/give-em-hell-frances/</t>
  </si>
  <si>
    <t>http://andrewtobias.com/column/the-republican-and-the-penny-stock/</t>
  </si>
  <si>
    <t>Fibrocell Sciences</t>
  </si>
  <si>
    <t>http://andrewtobias.com/column/would-warren-buffett-use-delta-bonus-miles-to-buy-fcsc/</t>
  </si>
  <si>
    <t>http://andrewtobias.com/column/a-mind-changing-tour-of-homewood-pa/</t>
  </si>
  <si>
    <t>Nabi Biopharmaceuticals</t>
  </si>
  <si>
    <t>http://andrewtobias.com/column/keep-the-faith/</t>
  </si>
  <si>
    <t>Titan Pharmaceuticals</t>
  </si>
  <si>
    <t>http://andrewtobias.com/column/listen/</t>
  </si>
  <si>
    <t>Dynavax Technologies</t>
  </si>
  <si>
    <t>http://andrewtobias.com/column/the-debate/</t>
  </si>
  <si>
    <t>sell half 8/25/2011</t>
  </si>
  <si>
    <t>SIGA Technologies</t>
  </si>
  <si>
    <t>http://andrewtobias.com/column/so-help/</t>
  </si>
  <si>
    <t>http://andrewtobias.com/column/barney/</t>
  </si>
  <si>
    <t>http://andrewtobias.com/column/sign-the-petition-let-fred-debate/</t>
  </si>
  <si>
    <t>Alcatel Lucent</t>
  </si>
  <si>
    <t>http://andrewtobias.com/column/a-brilliant-plan/</t>
  </si>
  <si>
    <t>Intermune</t>
  </si>
  <si>
    <t>http://andrewtobias.com/column/pep/</t>
  </si>
  <si>
    <t>http://andrewtobias.com/column/just-do-it-2/</t>
  </si>
  <si>
    <t>Southern Missouri Bankcorp</t>
  </si>
  <si>
    <t>http://andrewtobias.com/column/gross-and-buffett/</t>
  </si>
  <si>
    <t>http://andrewtobias.com/column/a-cuban-immigrant-in-the-top-1/</t>
  </si>
  <si>
    <t>http://andrewtobias.com/column/leadie-gaga-mud-bkutk/</t>
  </si>
  <si>
    <t>Bank of Utica</t>
  </si>
  <si>
    <t>http://andrewtobias.com/column/borealis-and-buttkick/</t>
  </si>
  <si>
    <t>http://andrewtobias.com/column/a-marines-mom-speaks/</t>
  </si>
  <si>
    <t>not as bad as it could have been thanks to some dividends and travelers spinoff</t>
  </si>
  <si>
    <t>NitroMed $30 December 2005 puts</t>
  </si>
  <si>
    <t>http://www.andrewtobias.com/newcolumns/050706.html</t>
  </si>
  <si>
    <t>AAPL</t>
  </si>
  <si>
    <t>Apple $20 LEAPS</t>
  </si>
  <si>
    <t>GOOG</t>
  </si>
  <si>
    <t>Google puts</t>
  </si>
  <si>
    <t>PPD</t>
  </si>
  <si>
    <t>Prepaid Legal LEAPS</t>
  </si>
  <si>
    <t>http://andrewtobias.com/column/if-the-world-is-ending-why-not-visit-paradise/</t>
  </si>
  <si>
    <t>http://andrewtobias.com/column/this-man-gets-on-a-bus/</t>
  </si>
  <si>
    <t>bought out for $1.80 plus .0856 shares of GXP</t>
  </si>
  <si>
    <t>Infusystem</t>
  </si>
  <si>
    <t>http://andrewtobias.com/column/appoplexy-and-infusystems/</t>
  </si>
  <si>
    <t>Walmart LEAPS</t>
  </si>
  <si>
    <t>http://www.andrewtobias.com/bkoldcolumns/110526.html</t>
  </si>
  <si>
    <t>Cardiome Pharma</t>
  </si>
  <si>
    <t>http://www.andrewtobias.com/bkoldcolumns/101110.html</t>
  </si>
  <si>
    <t>sell 3/26/2012</t>
  </si>
  <si>
    <t>http://andrewtobias.com/column/dead-peasants/</t>
  </si>
  <si>
    <t>http://andrewtobias.com/column/russia-china-chile-chad-this-diamond-fake-is-really-rad/</t>
  </si>
  <si>
    <t>If only we had bought calls</t>
  </si>
  <si>
    <t>http://www.andrewtobias.com/bkoldcolumns/041018.html</t>
  </si>
  <si>
    <t>El Paso Energy Partners -&gt; EPD</t>
  </si>
  <si>
    <t>Dendreon</t>
  </si>
  <si>
    <t>http://andrewtobias.com/column/blowback-and-the-jerusalem-post/</t>
  </si>
  <si>
    <t>http://www.andrewtobias.com/bkoldcolumns/031125.html</t>
  </si>
  <si>
    <t>http://andrewtobias.com/column/monet-manet-money-and-more/</t>
  </si>
  <si>
    <t>http://andrewtobias.com/column/a-catholic-reflects/</t>
  </si>
  <si>
    <t>http://andrewtobias.com/column/if-the-bank-fails-we-could-always-open-a-restaurant/</t>
  </si>
  <si>
    <t>http://andrewtobias.com/column/mud-paper-not-dollars-and-ambulatory-infusion-pumps/</t>
  </si>
  <si>
    <t>Wash Mutual Leaps</t>
  </si>
  <si>
    <t>http://andrewtobias.com/column/what-have-we-done/</t>
  </si>
  <si>
    <t>http://andrewtobias.com/column/create-your-own/</t>
  </si>
  <si>
    <t>add to position; suggest selling 1/3 2/28/2008 which I'm factoring by selling the 6/2006 shares. bankrupt 5/29/2009</t>
  </si>
  <si>
    <t>http://andrewtobias.com/column/bite-by-bite/</t>
  </si>
  <si>
    <t>http://andrewtobias.com/column/can-the-market-go-to-zero/</t>
  </si>
  <si>
    <t>LNY</t>
  </si>
  <si>
    <t>Taken private 7/20/2010</t>
  </si>
  <si>
    <t>Javelin Pharmaceuticals</t>
  </si>
  <si>
    <t>http://andrewtobias.com/column/organizing-for-your-iphone/</t>
  </si>
  <si>
    <t>http://andrewtobias.com/column/saving-lives-in-new-york/</t>
  </si>
  <si>
    <t>http://andrewtobias.com/bkoldcolumns/010604.html</t>
  </si>
  <si>
    <t>Aldabra Warrants</t>
  </si>
  <si>
    <t>ALBAW</t>
  </si>
  <si>
    <t>http://andrewtobias.com/column/mr-sabatins-dunums/</t>
  </si>
  <si>
    <t>http://andrewtobias.com/bkoldcolumns/060426.html</t>
  </si>
  <si>
    <t>Aldabra 2 Warrants</t>
  </si>
  <si>
    <t>http://andrewtobias.com/column/airplane-2/</t>
  </si>
  <si>
    <t>warrants converted and bounced around but between price of stock and restrictions ultimately expired worthless</t>
  </si>
  <si>
    <t>AIIWT</t>
  </si>
  <si>
    <t>NRDC</t>
  </si>
  <si>
    <t>NRDC NAQ Warrants</t>
  </si>
  <si>
    <t>http://www.andrewtobias.com/newcolumns/071123.html</t>
  </si>
  <si>
    <t>HAPN</t>
  </si>
  <si>
    <t>HAPN Warrants</t>
  </si>
  <si>
    <t>http://www.andrewtobias.com/newcolumns/070615.html</t>
  </si>
  <si>
    <t>BZ W</t>
  </si>
  <si>
    <t>Boise Paper Warrants</t>
  </si>
  <si>
    <t>sold most for 70 cents, sold most of rest for 1.20 to 1.40</t>
  </si>
  <si>
    <t>FXA</t>
  </si>
  <si>
    <t>Australian Dollar</t>
  </si>
  <si>
    <t>http://andrewtobias.com/column/phoning-for-2-cents-a-minute-instead-of-349/</t>
  </si>
  <si>
    <t>FXC</t>
  </si>
  <si>
    <t>FXE</t>
  </si>
  <si>
    <t>FXF</t>
  </si>
  <si>
    <t>FXY</t>
  </si>
  <si>
    <t>Canadian Dollar</t>
  </si>
  <si>
    <t>Euro</t>
  </si>
  <si>
    <t>Swiss Franc</t>
  </si>
  <si>
    <t>Japanese Yen</t>
  </si>
  <si>
    <t>JPM</t>
  </si>
  <si>
    <t>JP Morgan Puts</t>
  </si>
  <si>
    <t>QCOR</t>
  </si>
  <si>
    <t>PAA</t>
  </si>
  <si>
    <t>OKS</t>
  </si>
  <si>
    <t>MWE</t>
  </si>
  <si>
    <t>PVR</t>
  </si>
  <si>
    <t>TOO</t>
  </si>
  <si>
    <t>CMLP</t>
  </si>
  <si>
    <t>ETRM</t>
  </si>
  <si>
    <t>SODA</t>
  </si>
  <si>
    <t>Sodastream Leaps Jan 2015 42.5</t>
  </si>
  <si>
    <t>Questcor Pharmaceuticals</t>
  </si>
  <si>
    <t>Plains All American Pipeline</t>
  </si>
  <si>
    <t>OKEOK Partners LP</t>
  </si>
  <si>
    <t>MarkWest Energy</t>
  </si>
  <si>
    <t>PVR Partners LP</t>
  </si>
  <si>
    <t>Teekay Offshore Partners</t>
  </si>
  <si>
    <t>Crestwood Midstream Partners</t>
  </si>
  <si>
    <t>EnteroMedics</t>
  </si>
  <si>
    <t>Sodastream</t>
  </si>
  <si>
    <t>bought by GSK for $14.25/share 8/2/2012</t>
  </si>
  <si>
    <t>sell 3/21/2013</t>
  </si>
  <si>
    <t>sell 12/13/2012</t>
  </si>
  <si>
    <t>won't sell for less than 2.90 7/19/2011; received 1.72 in value in a merger. I assume selling the stock received in merger because guru thought it wasn't exciting</t>
  </si>
  <si>
    <t>sell if it hits 3.00; so far it hasn't</t>
  </si>
  <si>
    <t>http://andrewtobias.com/column/all-in/</t>
  </si>
  <si>
    <t>http://andrewtobias.com/column/can-the-koch-brothers-buy-america/</t>
  </si>
  <si>
    <t>http://andrewtobias.com/column/mitt/</t>
  </si>
  <si>
    <t>http://andrewtobias.com/column/tonights-debate-2/</t>
  </si>
  <si>
    <t>http://andrewtobias.com/column/every-warship-that-is-launched/</t>
  </si>
  <si>
    <t>http://andrewtobias.com/column/happiness/</t>
  </si>
  <si>
    <t>http://andrewtobias.com/column/a-new-speculation/</t>
  </si>
  <si>
    <t>http://andrewtobias.com/column/a-second-joyful-video/</t>
  </si>
  <si>
    <t>http://andrewtobias.com/column/what-if-there-is-no-spending-problem/</t>
  </si>
  <si>
    <t>http://andrewtobias.com/column/fizz-2/</t>
  </si>
  <si>
    <t>sell 3/15/2013</t>
  </si>
  <si>
    <t>assuming conversion of warrants to stock and selling stock</t>
  </si>
  <si>
    <t>Closing Date</t>
  </si>
  <si>
    <t>Initial Investment</t>
  </si>
  <si>
    <t>IRR</t>
  </si>
  <si>
    <t>Dividend per share in this quarter</t>
  </si>
  <si>
    <t>Comparison by buying S&amp;P 500 whenever a recommendation is made</t>
  </si>
  <si>
    <t>KYTH</t>
  </si>
  <si>
    <t>NKTR</t>
  </si>
  <si>
    <t xml:space="preserve">Symbol </t>
  </si>
  <si>
    <t xml:space="preserve">Value ($) </t>
  </si>
  <si>
    <t xml:space="preserve">Morningstar Rating </t>
  </si>
  <si>
    <t xml:space="preserve">Previous Close </t>
  </si>
  <si>
    <t xml:space="preserve">Category </t>
  </si>
  <si>
    <t xml:space="preserve">World Stock </t>
  </si>
  <si>
    <t xml:space="preserve">Net Assets </t>
  </si>
  <si>
    <t xml:space="preserve">Yield </t>
  </si>
  <si>
    <t xml:space="preserve">Morningstar Risk </t>
  </si>
  <si>
    <t xml:space="preserve">High </t>
  </si>
  <si>
    <t xml:space="preserve">Morningstar Return </t>
  </si>
  <si>
    <t xml:space="preserve">Average </t>
  </si>
  <si>
    <t xml:space="preserve">Open </t>
  </si>
  <si>
    <t xml:space="preserve">Day's High </t>
  </si>
  <si>
    <t xml:space="preserve">Day's Low </t>
  </si>
  <si>
    <t xml:space="preserve">Volume </t>
  </si>
  <si>
    <t xml:space="preserve">Avg Daily Vol (13 Wks) </t>
  </si>
  <si>
    <t xml:space="preserve">Bid </t>
  </si>
  <si>
    <t xml:space="preserve">Bid Size </t>
  </si>
  <si>
    <t xml:space="preserve">NA </t>
  </si>
  <si>
    <t xml:space="preserve">Ask </t>
  </si>
  <si>
    <t xml:space="preserve">Ask Size </t>
  </si>
  <si>
    <t xml:space="preserve">52-Wk High </t>
  </si>
  <si>
    <t xml:space="preserve">52-Wk Low </t>
  </si>
  <si>
    <t xml:space="preserve">Dividend Rate </t>
  </si>
  <si>
    <t>NCR</t>
  </si>
  <si>
    <t>have to look up this price manually</t>
  </si>
  <si>
    <t xml:space="preserve">3.95 Mil </t>
  </si>
  <si>
    <t xml:space="preserve">Real Estate </t>
  </si>
  <si>
    <t xml:space="preserve">Above Average </t>
  </si>
  <si>
    <t>bought by KMP for 0.4563 shares of KMP per share of CPNO</t>
  </si>
  <si>
    <t>sell half 8/12/2013</t>
  </si>
  <si>
    <t>sell half 8/9/2010; sell 9/10/2013</t>
  </si>
  <si>
    <t>sell 9/13/2013</t>
  </si>
  <si>
    <t>sell 6/12/2013</t>
  </si>
  <si>
    <t>Methylgene/Mirati</t>
  </si>
  <si>
    <t>MYLGF/MRTX</t>
  </si>
  <si>
    <t>Kythera Biopharmaceuticals</t>
  </si>
  <si>
    <t>Nekthar Pharmaceuticals</t>
  </si>
  <si>
    <t>sell half 5/17/2013</t>
  </si>
  <si>
    <t>http://andrewtobias.com/column/significant-scandal/</t>
  </si>
  <si>
    <t xml:space="preserve">Beta </t>
  </si>
  <si>
    <t xml:space="preserve">YTD NAV Return </t>
  </si>
  <si>
    <t xml:space="preserve">YTD Market Return </t>
  </si>
  <si>
    <t xml:space="preserve">Inception Date </t>
  </si>
  <si>
    <t xml:space="preserve">Shares Outstanding </t>
  </si>
  <si>
    <t xml:space="preserve">4.30 Mil </t>
  </si>
  <si>
    <t xml:space="preserve">3.40 Mil </t>
  </si>
  <si>
    <t xml:space="preserve">2.55 Mil </t>
  </si>
  <si>
    <t xml:space="preserve">1.40 Mil </t>
  </si>
  <si>
    <t>KMP</t>
  </si>
  <si>
    <t xml:space="preserve">1.15 Mil </t>
  </si>
  <si>
    <t>INFU</t>
  </si>
  <si>
    <t>MRTX</t>
  </si>
  <si>
    <t xml:space="preserve">1.13 Mil </t>
  </si>
  <si>
    <t xml:space="preserve">1.21 Mil </t>
  </si>
  <si>
    <t>ROICW</t>
  </si>
  <si>
    <t>SPY</t>
  </si>
  <si>
    <t>Analysis of recommendations by Andrew Tobias</t>
  </si>
  <si>
    <t xml:space="preserve">518.77 Mil </t>
  </si>
  <si>
    <t xml:space="preserve">1.04 Mil </t>
  </si>
  <si>
    <t xml:space="preserve">1.17 Mil </t>
  </si>
  <si>
    <t xml:space="preserve">5.96 Mil </t>
  </si>
  <si>
    <t xml:space="preserve">7.95 Mil </t>
  </si>
  <si>
    <t xml:space="preserve">2.25 Mil </t>
  </si>
  <si>
    <t xml:space="preserve">2.03 Mil </t>
  </si>
  <si>
    <t xml:space="preserve">2.99 Mil </t>
  </si>
  <si>
    <t xml:space="preserve">2.73 Mil </t>
  </si>
  <si>
    <t xml:space="preserve">4.99 Mil </t>
  </si>
  <si>
    <t xml:space="preserve">6.24 Mil </t>
  </si>
  <si>
    <t xml:space="preserve">7.91 Mil </t>
  </si>
  <si>
    <t xml:space="preserve">7.40 Mil </t>
  </si>
  <si>
    <t xml:space="preserve">7.67 Mil </t>
  </si>
  <si>
    <t xml:space="preserve">20.67 Mil </t>
  </si>
  <si>
    <t xml:space="preserve">8.4 Mil </t>
  </si>
  <si>
    <t xml:space="preserve">13.57 Mil </t>
  </si>
  <si>
    <t xml:space="preserve">6.48 Mil </t>
  </si>
  <si>
    <t xml:space="preserve">275.70 Mil </t>
  </si>
  <si>
    <t xml:space="preserve">1.75 Mil </t>
  </si>
  <si>
    <t xml:space="preserve">11.9 Mil </t>
  </si>
  <si>
    <t xml:space="preserve">12.93 Mil </t>
  </si>
  <si>
    <t xml:space="preserve">40.07 Mil </t>
  </si>
  <si>
    <t xml:space="preserve">44.24 Mil </t>
  </si>
  <si>
    <t xml:space="preserve">1.18 Mil </t>
  </si>
  <si>
    <t xml:space="preserve">1.35 Mil </t>
  </si>
  <si>
    <t xml:space="preserve">1.12 Mil </t>
  </si>
  <si>
    <t xml:space="preserve">1.52 Mil </t>
  </si>
  <si>
    <t xml:space="preserve">3.39 Mil </t>
  </si>
  <si>
    <t xml:space="preserve">16.75 Mil </t>
  </si>
  <si>
    <t xml:space="preserve">23.03 Mil </t>
  </si>
  <si>
    <t xml:space="preserve">5.51 Mil </t>
  </si>
  <si>
    <t xml:space="preserve">338.55 Mil </t>
  </si>
  <si>
    <t xml:space="preserve">14.1 Mil </t>
  </si>
  <si>
    <t xml:space="preserve">17.75 Mil </t>
  </si>
  <si>
    <t xml:space="preserve">1.62 Mil </t>
  </si>
  <si>
    <t xml:space="preserve">3.98 Mil </t>
  </si>
  <si>
    <t xml:space="preserve">6.04 Mil </t>
  </si>
  <si>
    <t xml:space="preserve">7.27 Mil </t>
  </si>
  <si>
    <t xml:space="preserve">3.27 Mil </t>
  </si>
  <si>
    <t xml:space="preserve">4.92 Mil </t>
  </si>
  <si>
    <t xml:space="preserve">1.19 Mil </t>
  </si>
  <si>
    <t xml:space="preserve">1.41 Mil </t>
  </si>
  <si>
    <t xml:space="preserve">1.28 Mil </t>
  </si>
  <si>
    <t xml:space="preserve">2.21 Mil </t>
  </si>
  <si>
    <t xml:space="preserve">2.78 Mil </t>
  </si>
  <si>
    <t xml:space="preserve">1.72 Mil </t>
  </si>
  <si>
    <t xml:space="preserve">3.6 Mil </t>
  </si>
  <si>
    <t xml:space="preserve">3.81 Mil </t>
  </si>
  <si>
    <t xml:space="preserve">2.14 Mil </t>
  </si>
  <si>
    <t xml:space="preserve">107.81 Mil </t>
  </si>
  <si>
    <t xml:space="preserve">923.28 Mil </t>
  </si>
  <si>
    <t xml:space="preserve">2.49 Mil </t>
  </si>
  <si>
    <t xml:space="preserve">2.26 Mil </t>
  </si>
  <si>
    <t xml:space="preserve">2 Mil </t>
  </si>
  <si>
    <t xml:space="preserve">2.51 Bil </t>
  </si>
  <si>
    <t xml:space="preserve">38.54 Mil </t>
  </si>
  <si>
    <t xml:space="preserve">3.54 Mil </t>
  </si>
  <si>
    <t xml:space="preserve">39.83 Mil </t>
  </si>
  <si>
    <t xml:space="preserve">37.36 Mil </t>
  </si>
  <si>
    <t xml:space="preserve">2.87 Mil </t>
  </si>
  <si>
    <t>Summary</t>
  </si>
  <si>
    <t>invested results in:</t>
  </si>
  <si>
    <t>Internal rate of return =</t>
  </si>
  <si>
    <t>Average holding period =</t>
  </si>
  <si>
    <t>years</t>
  </si>
  <si>
    <t>Average gain =</t>
  </si>
  <si>
    <t>recommendations assuming $1,000 each:</t>
  </si>
  <si>
    <t>If you had invested in S&amp;P 500 each time instead:</t>
  </si>
  <si>
    <t>Press Ctrl+Alt+F5 to refresh data</t>
  </si>
  <si>
    <t>Price on date of sale or as of last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</si>
</sst>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#\ ?/8"/>
    <numFmt numFmtId="165" formatCode="m/d/yy;@"/>
    <numFmt numFmtId="166" formatCode="0.0%"/>
    <numFmt numFmtId="167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92D05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/>
    <xf numFmtId="0" fontId="3" fillId="0" borderId="0" xfId="0" applyFont="1" applyAlignment="1">
      <alignment horizontal="center" textRotation="90" wrapText="1"/>
    </xf>
    <xf numFmtId="0" fontId="3" fillId="0" borderId="0" xfId="0" applyFont="1" applyAlignment="1">
      <alignment horizontal="center"/>
    </xf>
    <xf numFmtId="44" fontId="1" fillId="0" borderId="0" xfId="1" applyFont="1"/>
    <xf numFmtId="164" fontId="0" fillId="0" borderId="0" xfId="0" applyNumberFormat="1"/>
    <xf numFmtId="0" fontId="3" fillId="0" borderId="0" xfId="0" applyFont="1"/>
    <xf numFmtId="0" fontId="2" fillId="0" borderId="0" xfId="2" applyAlignment="1" applyProtection="1"/>
    <xf numFmtId="44" fontId="1" fillId="0" borderId="0" xfId="1" applyFont="1" applyAlignment="1"/>
    <xf numFmtId="14" fontId="3" fillId="0" borderId="0" xfId="0" applyNumberFormat="1" applyFont="1" applyAlignment="1">
      <alignment horizontal="center" textRotation="90" wrapText="1"/>
    </xf>
    <xf numFmtId="10" fontId="0" fillId="0" borderId="0" xfId="0" applyNumberFormat="1"/>
    <xf numFmtId="165" fontId="0" fillId="0" borderId="0" xfId="0" applyNumberFormat="1"/>
    <xf numFmtId="165" fontId="3" fillId="0" borderId="0" xfId="0" applyNumberFormat="1" applyFont="1" applyAlignment="1">
      <alignment horizontal="center" textRotation="90" wrapText="1"/>
    </xf>
    <xf numFmtId="39" fontId="0" fillId="0" borderId="0" xfId="0" applyNumberFormat="1"/>
    <xf numFmtId="39" fontId="3" fillId="0" borderId="0" xfId="0" applyNumberFormat="1" applyFont="1" applyAlignment="1">
      <alignment horizontal="center" textRotation="90" wrapText="1"/>
    </xf>
    <xf numFmtId="44" fontId="0" fillId="0" borderId="0" xfId="1" applyFont="1" applyAlignment="1"/>
    <xf numFmtId="44" fontId="0" fillId="0" borderId="0" xfId="1" applyFont="1" applyAlignment="1">
      <alignment horizontal="right"/>
    </xf>
    <xf numFmtId="166" fontId="0" fillId="0" borderId="0" xfId="3" applyNumberFormat="1" applyFont="1"/>
    <xf numFmtId="17" fontId="0" fillId="0" borderId="0" xfId="0" applyNumberFormat="1"/>
    <xf numFmtId="3" fontId="0" fillId="0" borderId="0" xfId="0" applyNumberFormat="1"/>
    <xf numFmtId="4" fontId="0" fillId="0" borderId="0" xfId="0" applyNumberFormat="1"/>
    <xf numFmtId="167" fontId="0" fillId="0" borderId="0" xfId="0" applyNumberFormat="1"/>
    <xf numFmtId="166" fontId="3" fillId="0" borderId="0" xfId="0" applyNumberFormat="1" applyFont="1"/>
    <xf numFmtId="42" fontId="6" fillId="0" borderId="0" xfId="0" applyNumberFormat="1" applyFont="1"/>
    <xf numFmtId="42" fontId="1" fillId="0" borderId="0" xfId="1" applyNumberFormat="1" applyFont="1" applyAlignment="1"/>
    <xf numFmtId="0" fontId="7" fillId="0" borderId="0" xfId="0" applyFont="1" applyAlignment="1"/>
    <xf numFmtId="14" fontId="7" fillId="0" borderId="0" xfId="0" applyNumberFormat="1" applyFont="1" applyAlignment="1"/>
    <xf numFmtId="0" fontId="7" fillId="0" borderId="0" xfId="0" applyFont="1" applyAlignment="1">
      <alignment horizontal="center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stock-price?Symbol=dd&amp;ocid=qbeb" connectionId="23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tock-price?Symbol=boref&amp;ocid=qbeb" connectionId="72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tock-price?Symbol=fgp&amp;ocid=qbeb" connectionId="17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?symbol=gld&amp;ocid=qbeb" connectionId="39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tock-price?Symbol=dcth&amp;ocid=qbeb" connectionId="48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tock-price?Symbol=mrk&amp;ocid=qbeb" connectionId="14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tock-price?Symbol=hmc&amp;ocid=qbeb" connectionId="7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tock-price?Symbol=mrtx&amp;ocid=qbeb" connectionId="53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tock-price?Symbol=bkutk&amp;ocid=qbeb" connectionId="60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tock-price?Symbol=cbrx&amp;ocid=qbeb_1" connectionId="51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tock-price?Symbol=etrm&amp;ocid=qbeb" connectionId="6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tock-price?Symbol=vz&amp;ocid=qbeb" connectionId="28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tock-price?Symbol=roicw&amp;ocid=qbeb" connectionId="73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?symbol=fxy&amp;ocid=qbeb" connectionId="36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tock-price?Symbol=ge&amp;ocid=qbeb" connectionId="25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tock-price?Symbol=bfs&amp;ocid=qbeb" connectionId="75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tock-price?Symbol=kf&amp;ocid=qbeb" connectionId="22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?symbol=fxa&amp;ocid=qbeb" connectionId="31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tock-price?Symbol=ntii&amp;ocid=qbeb" connectionId="15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tock-price?Symbol=kmp&amp;ocid=qbeb" connectionId="37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tock-price?Symbol=jnj&amp;ocid=qbeb" connectionId="12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tock-price?Symbol=pcl&amp;ocid=qbeb" connectionId="2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tock-price?Symbol=gd&amp;ocid=qbeb" connectionId="3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?symbol=slv&amp;ocid=qbeb" connectionId="38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tock-price?Symbol=npsp&amp;ocid=qbeb" connectionId="50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?symbol=prgsx&amp;ocid=qbeb" connectionId="2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tock-price?Symbol=fmd&amp;ocid=qbeb" connectionId="27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tock-price?Symbol=wfc&amp;ocid=qbeb" connectionId="42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tock-price?Symbol=aln&amp;ocid=qbeb" connectionId="47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?symbol=fxf&amp;ocid=qbeb" connectionId="34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tock-price?Symbol=emis&amp;ocid=qbeb" connectionId="16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tock-price?Symbol=wmt&amp;ocid=qbeb" connectionId="26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tock-price?Symbol=mvc&amp;ocid=qbeb" connectionId="6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tock-price?Symbol=apc&amp;ocid=qbeb" connectionId="21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tock-price?Symbol=mck&amp;ocid=qbeb" connectionId="4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tock-price?Symbol=usb&amp;ocid=qbeb" connectionId="57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tock-price?Symbol=bth&amp;ocid=qbeb" connectionId="24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tock-price?Symbol=infu&amp;ocid=qbeb" connectionId="45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tock-price?Symbol=emis&amp;ocid=qbeb_1" connectionId="49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tock-price?Symbol=epd&amp;ocid=qbeb" connectionId="11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tock-price?Symbol=siga&amp;ocid=qbeb" connectionId="56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tock-price?Symbol=c&amp;ocid=qbeb" connectionId="10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tock-price?Symbol=smbc&amp;ocid=qbeb" connectionId="59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tock-price?Symbol=gldd&amp;ocid=qbeb" connectionId="40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tock-price?Symbol=depo&amp;ocid=qbeb" connectionId="44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tock-price?Symbol=msft&amp;ocid=qbeb" connectionId="3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tock-price?Symbol=pars&amp;ocid=qbeb" connectionId="43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tock-price?Symbol=paa&amp;ocid=qbeb" connectionId="61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stock-price?Symbol=cvv&amp;ocid=qbeb" connectionId="52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stock-price?Symbol=roic&amp;ocid=qbeb" connectionId="30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stock-price?Symbol=jnpr&amp;ocid=qbeb" connectionId="8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stock-price?Symbol=ncr&amp;ocid=qbeb" connectionId="13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stock-price?Symbol=axp&amp;ocid=qbeb" connectionId="41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stock-price?Symbol=oks&amp;ocid=qbeb" connectionId="62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stock-price?symbol=cmlp&amp;ocid=qbeb" connectionId="66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tock-price?Symbol=jny&amp;ocid=qbeb" connectionId="46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stock-price?Symbol=too&amp;ocid=qbeb" connectionId="65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?symbol=fxe&amp;ocid=qbeb" connectionId="33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stock-price?Symbol=kyth&amp;ocid=qbeb" connectionId="70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?symbol=fxc&amp;ocid=qbeb" connectionId="32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stock-price?Symbol=soda&amp;ocid=qbeb" connectionId="69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?symbol=spy&amp;ocid=qbeb" connectionId="74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stock-price?Symbol=npk&amp;ocid=qbeb" connectionId="5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stock-price?Symbol=pcg&amp;ocid=qbeb" connectionId="18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stock-price?Symbol=an&amp;ocid=qbeb" connectionId="9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stock-price?Symbol=nktr&amp;ocid=qbeb" connectionId="71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tock-price?Symbol=ttnp&amp;ocid=qbeb" connectionId="54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stock-price?Symbol=sne&amp;ocid=qbeb" connectionId="19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stock-price?Symbol=alu&amp;ocid=qbeb" connectionId="58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stock-price?Symbol=pvr&amp;ocid=qbeb" connectionId="64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stock-price?Symbol=mwe&amp;ocid=qbeb" connectionId="63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stock-price?Symbol=vno&amp;ocid=qbeb" connectionId="68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stock-price?Symbol=dvax&amp;ocid=qbeb" connectionId="55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tock-price?Symbol=bx&amp;ocid=qbeb" connectionId="29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?symbol=vgsix&amp;ocid=qbeb" connectionId="76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andrewtobias.com/column/worried-but-enjoying-it/" TargetMode="External"/><Relationship Id="rId21" Type="http://schemas.openxmlformats.org/officeDocument/2006/relationships/hyperlink" Target="http://andrewtobias.com/column/who-wants-to-be-a-millionaire/" TargetMode="External"/><Relationship Id="rId42" Type="http://schemas.openxmlformats.org/officeDocument/2006/relationships/hyperlink" Target="http://andrewtobias.com/column/time-to-nibble-i-bought-stocks-today/" TargetMode="External"/><Relationship Id="rId63" Type="http://schemas.openxmlformats.org/officeDocument/2006/relationships/hyperlink" Target="http://andrewtobias.com/column/dont-mess-with-texas-really/" TargetMode="External"/><Relationship Id="rId84" Type="http://schemas.openxmlformats.org/officeDocument/2006/relationships/hyperlink" Target="http://www.andrewtobias.com/newcolumns/070615.html" TargetMode="External"/><Relationship Id="rId138" Type="http://schemas.openxmlformats.org/officeDocument/2006/relationships/hyperlink" Target="http://andrewtobias.com/column/confidence-and-taxes/" TargetMode="External"/><Relationship Id="rId159" Type="http://schemas.openxmlformats.org/officeDocument/2006/relationships/hyperlink" Target="http://www.andrewtobias.com/bkoldcolumns/110526.html" TargetMode="External"/><Relationship Id="rId170" Type="http://schemas.openxmlformats.org/officeDocument/2006/relationships/hyperlink" Target="http://andrewtobias.com/column/pep/" TargetMode="External"/><Relationship Id="rId191" Type="http://schemas.openxmlformats.org/officeDocument/2006/relationships/hyperlink" Target="http://andrewtobias.com/column/a-second-joyful-video/" TargetMode="External"/><Relationship Id="rId196" Type="http://schemas.openxmlformats.org/officeDocument/2006/relationships/hyperlink" Target="http://andrewtobias.com/column/significant-scandal/" TargetMode="External"/><Relationship Id="rId16" Type="http://schemas.openxmlformats.org/officeDocument/2006/relationships/hyperlink" Target="http://andrewtobias.com/column/real-estate-investment-trusts/" TargetMode="External"/><Relationship Id="rId107" Type="http://schemas.openxmlformats.org/officeDocument/2006/relationships/hyperlink" Target="http://andrewtobias.com/column/jitterbug/" TargetMode="External"/><Relationship Id="rId11" Type="http://schemas.openxmlformats.org/officeDocument/2006/relationships/hyperlink" Target="http://andrewtobias.com/column/five-stocks-you-should-consider/" TargetMode="External"/><Relationship Id="rId32" Type="http://schemas.openxmlformats.org/officeDocument/2006/relationships/hyperlink" Target="http://andrewtobias.com/column/letter-from-an-afghan/" TargetMode="External"/><Relationship Id="rId37" Type="http://schemas.openxmlformats.org/officeDocument/2006/relationships/hyperlink" Target="http://andrewtobias.com/column/blowback-and-the-jerusalem-post/" TargetMode="External"/><Relationship Id="rId53" Type="http://schemas.openxmlformats.org/officeDocument/2006/relationships/hyperlink" Target="http://andrewtobias.com/column/and-now-a-word-or-two-about-money/" TargetMode="External"/><Relationship Id="rId58" Type="http://schemas.openxmlformats.org/officeDocument/2006/relationships/hyperlink" Target="http://andrewtobias.com/column/year-end-tax-selling-and-buying/" TargetMode="External"/><Relationship Id="rId74" Type="http://schemas.openxmlformats.org/officeDocument/2006/relationships/hyperlink" Target="http://andrewtobias.com/column/boring-money-stuff/" TargetMode="External"/><Relationship Id="rId79" Type="http://schemas.openxmlformats.org/officeDocument/2006/relationships/hyperlink" Target="http://andrewtobias.com/bkoldcolumns/060426.html" TargetMode="External"/><Relationship Id="rId102" Type="http://schemas.openxmlformats.org/officeDocument/2006/relationships/hyperlink" Target="http://andrewtobias.com/column/yesterday-3/" TargetMode="External"/><Relationship Id="rId123" Type="http://schemas.openxmlformats.org/officeDocument/2006/relationships/hyperlink" Target="http://andrewtobias.com/column/a-more-perfect-union-a-basket-of-speculations/" TargetMode="External"/><Relationship Id="rId128" Type="http://schemas.openxmlformats.org/officeDocument/2006/relationships/hyperlink" Target="http://andrewtobias.com/column/tall-politicians/" TargetMode="External"/><Relationship Id="rId144" Type="http://schemas.openxmlformats.org/officeDocument/2006/relationships/hyperlink" Target="http://andrewtobias.com/column/all-17-newspaper-editorial-boards/" TargetMode="External"/><Relationship Id="rId149" Type="http://schemas.openxmlformats.org/officeDocument/2006/relationships/hyperlink" Target="http://andrewtobias.com/column/four-mutual-funds/" TargetMode="External"/><Relationship Id="rId5" Type="http://schemas.openxmlformats.org/officeDocument/2006/relationships/hyperlink" Target="http://andrewtobias.com/column/an-idti-bit-of-hindsight/" TargetMode="External"/><Relationship Id="rId90" Type="http://schemas.openxmlformats.org/officeDocument/2006/relationships/hyperlink" Target="http://andrewtobias.com/column/if-the-bank-fails-we-could-always-open-a-restaurant/" TargetMode="External"/><Relationship Id="rId95" Type="http://schemas.openxmlformats.org/officeDocument/2006/relationships/hyperlink" Target="http://andrewtobias.com/column/phoning-for-2-cents-a-minute-instead-of-349/" TargetMode="External"/><Relationship Id="rId160" Type="http://schemas.openxmlformats.org/officeDocument/2006/relationships/hyperlink" Target="http://andrewtobias.com/column/saving-lives-in-new-york/" TargetMode="External"/><Relationship Id="rId165" Type="http://schemas.openxmlformats.org/officeDocument/2006/relationships/hyperlink" Target="http://andrewtobias.com/column/so-help/" TargetMode="External"/><Relationship Id="rId181" Type="http://schemas.openxmlformats.org/officeDocument/2006/relationships/hyperlink" Target="http://andrewtobias.com/column/mitt/" TargetMode="External"/><Relationship Id="rId186" Type="http://schemas.openxmlformats.org/officeDocument/2006/relationships/hyperlink" Target="http://andrewtobias.com/column/every-warship-that-is-launched/" TargetMode="External"/><Relationship Id="rId22" Type="http://schemas.openxmlformats.org/officeDocument/2006/relationships/hyperlink" Target="http://andrewtobias.com/column/who-wants-to-be-a-millionaire/" TargetMode="External"/><Relationship Id="rId27" Type="http://schemas.openxmlformats.org/officeDocument/2006/relationships/hyperlink" Target="http://andrewtobias.com/column/the-market-collapse/" TargetMode="External"/><Relationship Id="rId43" Type="http://schemas.openxmlformats.org/officeDocument/2006/relationships/hyperlink" Target="http://andrewtobias.com/column/time-to-nibble-i-bought-stocks-today/" TargetMode="External"/><Relationship Id="rId48" Type="http://schemas.openxmlformats.org/officeDocument/2006/relationships/hyperlink" Target="http://andrewtobias.com/column/caesar-tivo-seasons-picks-aol/" TargetMode="External"/><Relationship Id="rId64" Type="http://schemas.openxmlformats.org/officeDocument/2006/relationships/hyperlink" Target="http://andrewtobias.com/column/bombs-breasts-and-an-88-yield/" TargetMode="External"/><Relationship Id="rId69" Type="http://schemas.openxmlformats.org/officeDocument/2006/relationships/hyperlink" Target="http://andrewtobias.com/column/visit-the-monkeysphere/" TargetMode="External"/><Relationship Id="rId113" Type="http://schemas.openxmlformats.org/officeDocument/2006/relationships/hyperlink" Target="http://andrewtobias.com/column/money-thoughts/" TargetMode="External"/><Relationship Id="rId118" Type="http://schemas.openxmlformats.org/officeDocument/2006/relationships/hyperlink" Target="http://andrewtobias.com/column/worried-but-enjoying-it/" TargetMode="External"/><Relationship Id="rId134" Type="http://schemas.openxmlformats.org/officeDocument/2006/relationships/hyperlink" Target="http://andrewtobias.com/column/liberals-for-deregulation/" TargetMode="External"/><Relationship Id="rId139" Type="http://schemas.openxmlformats.org/officeDocument/2006/relationships/hyperlink" Target="http://andrewtobias.com/column/organizing-for-your-iphone/" TargetMode="External"/><Relationship Id="rId80" Type="http://schemas.openxmlformats.org/officeDocument/2006/relationships/hyperlink" Target="http://andrewtobias.com/column/create-your-own/" TargetMode="External"/><Relationship Id="rId85" Type="http://schemas.openxmlformats.org/officeDocument/2006/relationships/hyperlink" Target="http://andrewtobias.com/column/airplane-2/" TargetMode="External"/><Relationship Id="rId150" Type="http://schemas.openxmlformats.org/officeDocument/2006/relationships/hyperlink" Target="http://andrewtobias.com/column/four-mutual-funds/" TargetMode="External"/><Relationship Id="rId155" Type="http://schemas.openxmlformats.org/officeDocument/2006/relationships/hyperlink" Target="http://andrewtobias.com/column/give-em-hell-frances/" TargetMode="External"/><Relationship Id="rId171" Type="http://schemas.openxmlformats.org/officeDocument/2006/relationships/hyperlink" Target="http://andrewtobias.com/column/just-do-it-2/" TargetMode="External"/><Relationship Id="rId176" Type="http://schemas.openxmlformats.org/officeDocument/2006/relationships/hyperlink" Target="http://andrewtobias.com/column/borealis-and-buttkick/" TargetMode="External"/><Relationship Id="rId192" Type="http://schemas.openxmlformats.org/officeDocument/2006/relationships/hyperlink" Target="http://andrewtobias.com/column/a-second-joyful-video/" TargetMode="External"/><Relationship Id="rId197" Type="http://schemas.openxmlformats.org/officeDocument/2006/relationships/printerSettings" Target="../printerSettings/printerSettings1.bin"/><Relationship Id="rId12" Type="http://schemas.openxmlformats.org/officeDocument/2006/relationships/hyperlink" Target="http://andrewtobias.com/column/five-stocks-you-should-consider/" TargetMode="External"/><Relationship Id="rId17" Type="http://schemas.openxmlformats.org/officeDocument/2006/relationships/hyperlink" Target="http://andrewtobias.com/column/real-estate-investment-trusts/" TargetMode="External"/><Relationship Id="rId33" Type="http://schemas.openxmlformats.org/officeDocument/2006/relationships/hyperlink" Target="http://andrewtobias.com/column/letter-from-an-afghan/" TargetMode="External"/><Relationship Id="rId38" Type="http://schemas.openxmlformats.org/officeDocument/2006/relationships/hyperlink" Target="http://andrewtobias.com/column/an-stock-to-consider/" TargetMode="External"/><Relationship Id="rId59" Type="http://schemas.openxmlformats.org/officeDocument/2006/relationships/hyperlink" Target="http://andrewtobias.com/column/buy-sell-marry/" TargetMode="External"/><Relationship Id="rId103" Type="http://schemas.openxmlformats.org/officeDocument/2006/relationships/hyperlink" Target="http://andrewtobias.com/column/can-the-market-go-to-zero/" TargetMode="External"/><Relationship Id="rId108" Type="http://schemas.openxmlformats.org/officeDocument/2006/relationships/hyperlink" Target="http://andrewtobias.com/column/jitterbug/" TargetMode="External"/><Relationship Id="rId124" Type="http://schemas.openxmlformats.org/officeDocument/2006/relationships/hyperlink" Target="http://andrewtobias.com/column/a-more-perfect-union-a-basket-of-speculations/" TargetMode="External"/><Relationship Id="rId129" Type="http://schemas.openxmlformats.org/officeDocument/2006/relationships/hyperlink" Target="http://andrewtobias.com/column/huge-good-news/" TargetMode="External"/><Relationship Id="rId54" Type="http://schemas.openxmlformats.org/officeDocument/2006/relationships/hyperlink" Target="http://andrewtobias.com/column/wood/" TargetMode="External"/><Relationship Id="rId70" Type="http://schemas.openxmlformats.org/officeDocument/2006/relationships/hyperlink" Target="http://www.andrewtobias.com/newcolumns/050706.html" TargetMode="External"/><Relationship Id="rId75" Type="http://schemas.openxmlformats.org/officeDocument/2006/relationships/hyperlink" Target="http://andrewtobias.com/column/good-deals-and-turkey-drippings/" TargetMode="External"/><Relationship Id="rId91" Type="http://schemas.openxmlformats.org/officeDocument/2006/relationships/hyperlink" Target="http://andrewtobias.com/column/if-the-world-is-ending-why-not-visit-paradise/" TargetMode="External"/><Relationship Id="rId96" Type="http://schemas.openxmlformats.org/officeDocument/2006/relationships/hyperlink" Target="http://andrewtobias.com/column/phoning-for-2-cents-a-minute-instead-of-349/" TargetMode="External"/><Relationship Id="rId140" Type="http://schemas.openxmlformats.org/officeDocument/2006/relationships/hyperlink" Target="http://andrewtobias.com/column/all-17-newspaper-editorial-boards/" TargetMode="External"/><Relationship Id="rId145" Type="http://schemas.openxmlformats.org/officeDocument/2006/relationships/hyperlink" Target="http://andrewtobias.com/column/all-17-newspaper-editorial-boards/" TargetMode="External"/><Relationship Id="rId161" Type="http://schemas.openxmlformats.org/officeDocument/2006/relationships/hyperlink" Target="http://andrewtobias.com/column/keep-the-faith/" TargetMode="External"/><Relationship Id="rId166" Type="http://schemas.openxmlformats.org/officeDocument/2006/relationships/hyperlink" Target="http://andrewtobias.com/column/sign-the-petition-let-fred-debate/" TargetMode="External"/><Relationship Id="rId182" Type="http://schemas.openxmlformats.org/officeDocument/2006/relationships/hyperlink" Target="http://andrewtobias.com/column/tonights-debate-2/" TargetMode="External"/><Relationship Id="rId187" Type="http://schemas.openxmlformats.org/officeDocument/2006/relationships/hyperlink" Target="http://andrewtobias.com/column/every-warship-that-is-launched/" TargetMode="External"/><Relationship Id="rId1" Type="http://schemas.openxmlformats.org/officeDocument/2006/relationships/hyperlink" Target="http://www.andrewtobias.com/bkoldcolumns/961226.html" TargetMode="External"/><Relationship Id="rId6" Type="http://schemas.openxmlformats.org/officeDocument/2006/relationships/hyperlink" Target="http://andrewtobias.com/column/gm-card-lunacy/" TargetMode="External"/><Relationship Id="rId23" Type="http://schemas.openxmlformats.org/officeDocument/2006/relationships/hyperlink" Target="http://andrewtobias.com/column/who-wants-to-be-a-millionaire/" TargetMode="External"/><Relationship Id="rId28" Type="http://schemas.openxmlformats.org/officeDocument/2006/relationships/hyperlink" Target="http://andrewtobias.com/column/closed-end-funds-iii/" TargetMode="External"/><Relationship Id="rId49" Type="http://schemas.openxmlformats.org/officeDocument/2006/relationships/hyperlink" Target="http://andrewtobias.com/column/time-to-rebalance/" TargetMode="External"/><Relationship Id="rId114" Type="http://schemas.openxmlformats.org/officeDocument/2006/relationships/hyperlink" Target="http://andrewtobias.com/column/this-bus-is-getting-crowded/" TargetMode="External"/><Relationship Id="rId119" Type="http://schemas.openxmlformats.org/officeDocument/2006/relationships/hyperlink" Target="http://andrewtobias.com/column/back-to-the-tea-party/" TargetMode="External"/><Relationship Id="rId44" Type="http://schemas.openxmlformats.org/officeDocument/2006/relationships/hyperlink" Target="http://andrewtobias.com/column/time-to-nibble-i-bought-stocks-today/" TargetMode="External"/><Relationship Id="rId60" Type="http://schemas.openxmlformats.org/officeDocument/2006/relationships/hyperlink" Target="http://andrewtobias.com/column/buy-sell-marry/" TargetMode="External"/><Relationship Id="rId65" Type="http://schemas.openxmlformats.org/officeDocument/2006/relationships/hyperlink" Target="http://www.andrewtobias.com/bkoldcolumns/041018.html" TargetMode="External"/><Relationship Id="rId81" Type="http://schemas.openxmlformats.org/officeDocument/2006/relationships/hyperlink" Target="http://andrewtobias.com/column/mr-sabatins-dunums/" TargetMode="External"/><Relationship Id="rId86" Type="http://schemas.openxmlformats.org/officeDocument/2006/relationships/hyperlink" Target="http://andrewtobias.com/column/what-have-we-done/" TargetMode="External"/><Relationship Id="rId130" Type="http://schemas.openxmlformats.org/officeDocument/2006/relationships/hyperlink" Target="http://andrewtobias.com/column/vancouver-v-virginia/" TargetMode="External"/><Relationship Id="rId135" Type="http://schemas.openxmlformats.org/officeDocument/2006/relationships/hyperlink" Target="http://andrewtobias.com/column/must-see-pavement-tv/" TargetMode="External"/><Relationship Id="rId151" Type="http://schemas.openxmlformats.org/officeDocument/2006/relationships/hyperlink" Target="http://andrewtobias.com/column/four-mutual-funds/" TargetMode="External"/><Relationship Id="rId156" Type="http://schemas.openxmlformats.org/officeDocument/2006/relationships/hyperlink" Target="http://andrewtobias.com/column/the-republican-and-the-penny-stock/" TargetMode="External"/><Relationship Id="rId177" Type="http://schemas.openxmlformats.org/officeDocument/2006/relationships/hyperlink" Target="http://andrewtobias.com/column/monet-manet-money-and-more/" TargetMode="External"/><Relationship Id="rId198" Type="http://schemas.openxmlformats.org/officeDocument/2006/relationships/vmlDrawing" Target="../drawings/vmlDrawing1.vml"/><Relationship Id="rId172" Type="http://schemas.openxmlformats.org/officeDocument/2006/relationships/hyperlink" Target="http://andrewtobias.com/column/gross-and-buffett/" TargetMode="External"/><Relationship Id="rId193" Type="http://schemas.openxmlformats.org/officeDocument/2006/relationships/hyperlink" Target="http://andrewtobias.com/column/what-if-there-is-no-spending-problem/" TargetMode="External"/><Relationship Id="rId13" Type="http://schemas.openxmlformats.org/officeDocument/2006/relationships/hyperlink" Target="http://andrewtobias.com/column/five-stocks-you-should-consider/" TargetMode="External"/><Relationship Id="rId18" Type="http://schemas.openxmlformats.org/officeDocument/2006/relationships/hyperlink" Target="http://andrewtobias.com/column/real-estate-investment-trusts/" TargetMode="External"/><Relationship Id="rId39" Type="http://schemas.openxmlformats.org/officeDocument/2006/relationships/hyperlink" Target="http://andrewtobias.com/column/three-little-speculations/" TargetMode="External"/><Relationship Id="rId109" Type="http://schemas.openxmlformats.org/officeDocument/2006/relationships/hyperlink" Target="http://andrewtobias.com/column/simply-put/" TargetMode="External"/><Relationship Id="rId34" Type="http://schemas.openxmlformats.org/officeDocument/2006/relationships/hyperlink" Target="http://andrewtobias.com/column/letter-from-an-afghan/" TargetMode="External"/><Relationship Id="rId50" Type="http://schemas.openxmlformats.org/officeDocument/2006/relationships/hyperlink" Target="http://andrewtobias.com/column/time-to-rebalance/" TargetMode="External"/><Relationship Id="rId55" Type="http://schemas.openxmlformats.org/officeDocument/2006/relationships/hyperlink" Target="http://www.andrewtobias.com/bkoldcolumns/031125.html" TargetMode="External"/><Relationship Id="rId76" Type="http://schemas.openxmlformats.org/officeDocument/2006/relationships/hyperlink" Target="http://andrewtobias.com/column/how-do-the-locusts-know/" TargetMode="External"/><Relationship Id="rId97" Type="http://schemas.openxmlformats.org/officeDocument/2006/relationships/hyperlink" Target="http://andrewtobias.com/column/phoning-for-2-cents-a-minute-instead-of-349/" TargetMode="External"/><Relationship Id="rId104" Type="http://schemas.openxmlformats.org/officeDocument/2006/relationships/hyperlink" Target="http://andrewtobias.com/column/well-you-asked/" TargetMode="External"/><Relationship Id="rId120" Type="http://schemas.openxmlformats.org/officeDocument/2006/relationships/hyperlink" Target="http://andrewtobias.com/column/marching-in-dc-vibrating-in-alabama/" TargetMode="External"/><Relationship Id="rId125" Type="http://schemas.openxmlformats.org/officeDocument/2006/relationships/hyperlink" Target="http://andrewtobias.com/column/sober-stuff/" TargetMode="External"/><Relationship Id="rId141" Type="http://schemas.openxmlformats.org/officeDocument/2006/relationships/hyperlink" Target="http://andrewtobias.com/column/all-17-newspaper-editorial-boards/" TargetMode="External"/><Relationship Id="rId146" Type="http://schemas.openxmlformats.org/officeDocument/2006/relationships/hyperlink" Target="http://andrewtobias.com/column/all-17-newspaper-editorial-boards/" TargetMode="External"/><Relationship Id="rId167" Type="http://schemas.openxmlformats.org/officeDocument/2006/relationships/hyperlink" Target="http://andrewtobias.com/column/sign-the-petition-let-fred-debate/" TargetMode="External"/><Relationship Id="rId188" Type="http://schemas.openxmlformats.org/officeDocument/2006/relationships/hyperlink" Target="http://andrewtobias.com/column/every-warship-that-is-launched/" TargetMode="External"/><Relationship Id="rId7" Type="http://schemas.openxmlformats.org/officeDocument/2006/relationships/hyperlink" Target="http://andrewtobias.com/column/amazonstratosphere/" TargetMode="External"/><Relationship Id="rId71" Type="http://schemas.openxmlformats.org/officeDocument/2006/relationships/hyperlink" Target="http://www.andrewtobias.com/newcolumns/050706.html" TargetMode="External"/><Relationship Id="rId92" Type="http://schemas.openxmlformats.org/officeDocument/2006/relationships/hyperlink" Target="http://andrewtobias.com/column/equality/" TargetMode="External"/><Relationship Id="rId162" Type="http://schemas.openxmlformats.org/officeDocument/2006/relationships/hyperlink" Target="http://andrewtobias.com/column/listen/" TargetMode="External"/><Relationship Id="rId183" Type="http://schemas.openxmlformats.org/officeDocument/2006/relationships/hyperlink" Target="http://andrewtobias.com/column/every-warship-that-is-launched/" TargetMode="External"/><Relationship Id="rId2" Type="http://schemas.openxmlformats.org/officeDocument/2006/relationships/hyperlink" Target="http://www.andrewtobias.com/bkoldcolumns/970109.html" TargetMode="External"/><Relationship Id="rId29" Type="http://schemas.openxmlformats.org/officeDocument/2006/relationships/hyperlink" Target="http://andrewtobias.com/column/kids-and-money/" TargetMode="External"/><Relationship Id="rId24" Type="http://schemas.openxmlformats.org/officeDocument/2006/relationships/hyperlink" Target="http://andrewtobias.com/column/who-wants-to-be-a-millionaire/" TargetMode="External"/><Relationship Id="rId40" Type="http://schemas.openxmlformats.org/officeDocument/2006/relationships/hyperlink" Target="http://andrewtobias.com/column/time-to-nibble-i-bought-stocks-today/" TargetMode="External"/><Relationship Id="rId45" Type="http://schemas.openxmlformats.org/officeDocument/2006/relationships/hyperlink" Target="http://andrewtobias.com/column/time-to-nibble-i-bought-stocks-today/" TargetMode="External"/><Relationship Id="rId66" Type="http://schemas.openxmlformats.org/officeDocument/2006/relationships/hyperlink" Target="http://andrewtobias.com/column/russia-china-chile-chad-this-diamond-fake-is-really-rad/" TargetMode="External"/><Relationship Id="rId87" Type="http://schemas.openxmlformats.org/officeDocument/2006/relationships/hyperlink" Target="http://andrewtobias.com/column/mud-paper-not-dollars-and-ambulatory-infusion-pumps/" TargetMode="External"/><Relationship Id="rId110" Type="http://schemas.openxmlformats.org/officeDocument/2006/relationships/hyperlink" Target="http://andrewtobias.com/column/the-world-may-not-end/" TargetMode="External"/><Relationship Id="rId115" Type="http://schemas.openxmlformats.org/officeDocument/2006/relationships/hyperlink" Target="http://andrewtobias.com/column/six-months/" TargetMode="External"/><Relationship Id="rId131" Type="http://schemas.openxmlformats.org/officeDocument/2006/relationships/hyperlink" Target="http://andrewtobias.com/column/a-little-light-music/" TargetMode="External"/><Relationship Id="rId136" Type="http://schemas.openxmlformats.org/officeDocument/2006/relationships/hyperlink" Target="http://andrewtobias.com/column/plouffe-lays-it-out/" TargetMode="External"/><Relationship Id="rId157" Type="http://schemas.openxmlformats.org/officeDocument/2006/relationships/hyperlink" Target="http://andrewtobias.com/column/would-warren-buffett-use-delta-bonus-miles-to-buy-fcsc/" TargetMode="External"/><Relationship Id="rId178" Type="http://schemas.openxmlformats.org/officeDocument/2006/relationships/hyperlink" Target="http://andrewtobias.com/column/a-catholic-reflects/" TargetMode="External"/><Relationship Id="rId61" Type="http://schemas.openxmlformats.org/officeDocument/2006/relationships/hyperlink" Target="http://andrewtobias.com/column/if-you-own-no-oil-stocks/" TargetMode="External"/><Relationship Id="rId82" Type="http://schemas.openxmlformats.org/officeDocument/2006/relationships/hyperlink" Target="http://andrewtobias.com/bkoldcolumns/060828.html" TargetMode="External"/><Relationship Id="rId152" Type="http://schemas.openxmlformats.org/officeDocument/2006/relationships/hyperlink" Target="http://andrewtobias.com/column/four-mutual-funds/" TargetMode="External"/><Relationship Id="rId173" Type="http://schemas.openxmlformats.org/officeDocument/2006/relationships/hyperlink" Target="http://andrewtobias.com/column/a-cuban-immigrant-in-the-top-1/" TargetMode="External"/><Relationship Id="rId194" Type="http://schemas.openxmlformats.org/officeDocument/2006/relationships/hyperlink" Target="http://andrewtobias.com/column/fizz-2/" TargetMode="External"/><Relationship Id="rId199" Type="http://schemas.openxmlformats.org/officeDocument/2006/relationships/comments" Target="../comments1.xml"/><Relationship Id="rId19" Type="http://schemas.openxmlformats.org/officeDocument/2006/relationships/hyperlink" Target="http://andrewtobias.com/column/whats-170-worth/" TargetMode="External"/><Relationship Id="rId14" Type="http://schemas.openxmlformats.org/officeDocument/2006/relationships/hyperlink" Target="http://andrewtobias.com/column/five-stocks-you-should-consider/" TargetMode="External"/><Relationship Id="rId30" Type="http://schemas.openxmlformats.org/officeDocument/2006/relationships/hyperlink" Target="http://andrewtobias.com/bkoldcolumns/010604.html" TargetMode="External"/><Relationship Id="rId35" Type="http://schemas.openxmlformats.org/officeDocument/2006/relationships/hyperlink" Target="http://andrewtobias.com/column/letter-from-an-afghan/" TargetMode="External"/><Relationship Id="rId56" Type="http://schemas.openxmlformats.org/officeDocument/2006/relationships/hyperlink" Target="http://andrewtobias.com/column/year-end-tax-selling-and-buying/" TargetMode="External"/><Relationship Id="rId77" Type="http://schemas.openxmlformats.org/officeDocument/2006/relationships/hyperlink" Target="http://andrewtobias.com/column/old-news-new-observations/" TargetMode="External"/><Relationship Id="rId100" Type="http://schemas.openxmlformats.org/officeDocument/2006/relationships/hyperlink" Target="http://andrewtobias.com/column/fight-fiercely-harvard/" TargetMode="External"/><Relationship Id="rId105" Type="http://schemas.openxmlformats.org/officeDocument/2006/relationships/hyperlink" Target="http://andrewtobias.com/column/well-you-asked/" TargetMode="External"/><Relationship Id="rId126" Type="http://schemas.openxmlformats.org/officeDocument/2006/relationships/hyperlink" Target="http://andrewtobias.com/column/appoplexy-and-infusystems/" TargetMode="External"/><Relationship Id="rId147" Type="http://schemas.openxmlformats.org/officeDocument/2006/relationships/hyperlink" Target="http://www.andrewtobias.com/bkoldcolumns/101110.html" TargetMode="External"/><Relationship Id="rId168" Type="http://schemas.openxmlformats.org/officeDocument/2006/relationships/hyperlink" Target="http://andrewtobias.com/column/sign-the-petition-let-fred-debate/" TargetMode="External"/><Relationship Id="rId8" Type="http://schemas.openxmlformats.org/officeDocument/2006/relationships/hyperlink" Target="http://andrewtobias.com/column/where-do-you-find-a-company-like-dep/" TargetMode="External"/><Relationship Id="rId51" Type="http://schemas.openxmlformats.org/officeDocument/2006/relationships/hyperlink" Target="http://andrewtobias.com/column/a-1485-yield/" TargetMode="External"/><Relationship Id="rId72" Type="http://schemas.openxmlformats.org/officeDocument/2006/relationships/hyperlink" Target="http://andrewtobias.com/column/boring-money-stuff/" TargetMode="External"/><Relationship Id="rId93" Type="http://schemas.openxmlformats.org/officeDocument/2006/relationships/hyperlink" Target="http://andrewtobias.com/column/spacs/" TargetMode="External"/><Relationship Id="rId98" Type="http://schemas.openxmlformats.org/officeDocument/2006/relationships/hyperlink" Target="http://andrewtobias.com/column/phoning-for-2-cents-a-minute-instead-of-349/" TargetMode="External"/><Relationship Id="rId121" Type="http://schemas.openxmlformats.org/officeDocument/2006/relationships/hyperlink" Target="http://andrewtobias.com/column/dead-peasants/" TargetMode="External"/><Relationship Id="rId142" Type="http://schemas.openxmlformats.org/officeDocument/2006/relationships/hyperlink" Target="http://andrewtobias.com/column/all-17-newspaper-editorial-boards/" TargetMode="External"/><Relationship Id="rId163" Type="http://schemas.openxmlformats.org/officeDocument/2006/relationships/hyperlink" Target="http://andrewtobias.com/column/listen/" TargetMode="External"/><Relationship Id="rId184" Type="http://schemas.openxmlformats.org/officeDocument/2006/relationships/hyperlink" Target="http://andrewtobias.com/column/every-warship-that-is-launched/" TargetMode="External"/><Relationship Id="rId189" Type="http://schemas.openxmlformats.org/officeDocument/2006/relationships/hyperlink" Target="http://andrewtobias.com/column/happiness/" TargetMode="External"/><Relationship Id="rId3" Type="http://schemas.openxmlformats.org/officeDocument/2006/relationships/hyperlink" Target="http://andrewtobias.com/column/optimism-2/" TargetMode="External"/><Relationship Id="rId25" Type="http://schemas.openxmlformats.org/officeDocument/2006/relationships/hyperlink" Target="http://andrewtobias.com/column/who-wants-to-be-a-millionaire/" TargetMode="External"/><Relationship Id="rId46" Type="http://schemas.openxmlformats.org/officeDocument/2006/relationships/hyperlink" Target="http://andrewtobias.com/column/caesar-tivo-seasons-picks-aol/" TargetMode="External"/><Relationship Id="rId67" Type="http://schemas.openxmlformats.org/officeDocument/2006/relationships/hyperlink" Target="http://andrewtobias.com/column/finally-some-financial-advice/" TargetMode="External"/><Relationship Id="rId116" Type="http://schemas.openxmlformats.org/officeDocument/2006/relationships/hyperlink" Target="http://andrewtobias.com/column/oona/" TargetMode="External"/><Relationship Id="rId137" Type="http://schemas.openxmlformats.org/officeDocument/2006/relationships/hyperlink" Target="http://andrewtobias.com/column/confidence-and-taxes/" TargetMode="External"/><Relationship Id="rId158" Type="http://schemas.openxmlformats.org/officeDocument/2006/relationships/hyperlink" Target="http://andrewtobias.com/column/a-mind-changing-tour-of-homewood-pa/" TargetMode="External"/><Relationship Id="rId20" Type="http://schemas.openxmlformats.org/officeDocument/2006/relationships/hyperlink" Target="http://andrewtobias.com/column/who-wants-to-be-a-millionaire/" TargetMode="External"/><Relationship Id="rId41" Type="http://schemas.openxmlformats.org/officeDocument/2006/relationships/hyperlink" Target="http://andrewtobias.com/column/time-to-nibble-i-bought-stocks-today/" TargetMode="External"/><Relationship Id="rId62" Type="http://schemas.openxmlformats.org/officeDocument/2006/relationships/hyperlink" Target="http://andrewtobias.com/column/where-to-put-your-money-now/" TargetMode="External"/><Relationship Id="rId83" Type="http://schemas.openxmlformats.org/officeDocument/2006/relationships/hyperlink" Target="http://andrewtobias.com/column/bite-by-bite/" TargetMode="External"/><Relationship Id="rId88" Type="http://schemas.openxmlformats.org/officeDocument/2006/relationships/hyperlink" Target="http://andrewtobias.com/column/wamu-citi-and-chase/" TargetMode="External"/><Relationship Id="rId111" Type="http://schemas.openxmlformats.org/officeDocument/2006/relationships/hyperlink" Target="http://andrewtobias.com/column/the-world-may-not-end/" TargetMode="External"/><Relationship Id="rId132" Type="http://schemas.openxmlformats.org/officeDocument/2006/relationships/hyperlink" Target="http://andrewtobias.com/column/as-if-you-had-any-money-left-you-could-truly-afford-to-lose/" TargetMode="External"/><Relationship Id="rId153" Type="http://schemas.openxmlformats.org/officeDocument/2006/relationships/hyperlink" Target="http://andrewtobias.com/column/if-ike-had-had-two-moms/" TargetMode="External"/><Relationship Id="rId174" Type="http://schemas.openxmlformats.org/officeDocument/2006/relationships/hyperlink" Target="http://andrewtobias.com/column/barney/" TargetMode="External"/><Relationship Id="rId179" Type="http://schemas.openxmlformats.org/officeDocument/2006/relationships/hyperlink" Target="http://andrewtobias.com/column/all-in/" TargetMode="External"/><Relationship Id="rId195" Type="http://schemas.openxmlformats.org/officeDocument/2006/relationships/hyperlink" Target="http://andrewtobias.com/column/significant-scandal/" TargetMode="External"/><Relationship Id="rId190" Type="http://schemas.openxmlformats.org/officeDocument/2006/relationships/hyperlink" Target="http://andrewtobias.com/column/a-new-speculation/" TargetMode="External"/><Relationship Id="rId15" Type="http://schemas.openxmlformats.org/officeDocument/2006/relationships/hyperlink" Target="http://andrewtobias.com/column/five-stocks-you-should-consider/" TargetMode="External"/><Relationship Id="rId36" Type="http://schemas.openxmlformats.org/officeDocument/2006/relationships/hyperlink" Target="http://andrewtobias.com/column/a-marines-mom-speaks/" TargetMode="External"/><Relationship Id="rId57" Type="http://schemas.openxmlformats.org/officeDocument/2006/relationships/hyperlink" Target="http://andrewtobias.com/column/year-end-tax-selling-and-buying/" TargetMode="External"/><Relationship Id="rId106" Type="http://schemas.openxmlformats.org/officeDocument/2006/relationships/hyperlink" Target="http://andrewtobias.com/column/tbt/" TargetMode="External"/><Relationship Id="rId127" Type="http://schemas.openxmlformats.org/officeDocument/2006/relationships/hyperlink" Target="http://andrewtobias.com/column/citizens-for-apple-pie-and-motherhood/" TargetMode="External"/><Relationship Id="rId10" Type="http://schemas.openxmlformats.org/officeDocument/2006/relationships/hyperlink" Target="http://andrewtobias.com/column/a-stock-thats/" TargetMode="External"/><Relationship Id="rId31" Type="http://schemas.openxmlformats.org/officeDocument/2006/relationships/hyperlink" Target="http://andrewtobias.com/column/letter-from-an-afghan/" TargetMode="External"/><Relationship Id="rId52" Type="http://schemas.openxmlformats.org/officeDocument/2006/relationships/hyperlink" Target="http://andrewtobias.com/column/cell-hotelscom-buy-jet-blue/" TargetMode="External"/><Relationship Id="rId73" Type="http://schemas.openxmlformats.org/officeDocument/2006/relationships/hyperlink" Target="http://andrewtobias.com/column/boring-money-stuff/" TargetMode="External"/><Relationship Id="rId78" Type="http://schemas.openxmlformats.org/officeDocument/2006/relationships/hyperlink" Target="http://andrewtobias.com/bkoldcolumns/060303.html" TargetMode="External"/><Relationship Id="rId94" Type="http://schemas.openxmlformats.org/officeDocument/2006/relationships/hyperlink" Target="http://andrewtobias.com/column/this-man-gets-on-a-bus/" TargetMode="External"/><Relationship Id="rId99" Type="http://schemas.openxmlformats.org/officeDocument/2006/relationships/hyperlink" Target="http://andrewtobias.com/column/phoning-for-2-cents-a-minute-instead-of-349/" TargetMode="External"/><Relationship Id="rId101" Type="http://schemas.openxmlformats.org/officeDocument/2006/relationships/hyperlink" Target="http://andrewtobias.com/column/yesterday-3/" TargetMode="External"/><Relationship Id="rId122" Type="http://schemas.openxmlformats.org/officeDocument/2006/relationships/hyperlink" Target="http://andrewtobias.com/column/a-more-perfect-union-a-basket-of-speculations/" TargetMode="External"/><Relationship Id="rId143" Type="http://schemas.openxmlformats.org/officeDocument/2006/relationships/hyperlink" Target="http://andrewtobias.com/column/all-17-newspaper-editorial-boards/" TargetMode="External"/><Relationship Id="rId148" Type="http://schemas.openxmlformats.org/officeDocument/2006/relationships/hyperlink" Target="http://andrewtobias.com/column/price-war/" TargetMode="External"/><Relationship Id="rId164" Type="http://schemas.openxmlformats.org/officeDocument/2006/relationships/hyperlink" Target="http://andrewtobias.com/column/the-debate/" TargetMode="External"/><Relationship Id="rId169" Type="http://schemas.openxmlformats.org/officeDocument/2006/relationships/hyperlink" Target="http://andrewtobias.com/column/a-brilliant-plan/" TargetMode="External"/><Relationship Id="rId185" Type="http://schemas.openxmlformats.org/officeDocument/2006/relationships/hyperlink" Target="http://andrewtobias.com/column/every-warship-that-is-launched/" TargetMode="External"/><Relationship Id="rId4" Type="http://schemas.openxmlformats.org/officeDocument/2006/relationships/hyperlink" Target="http://andrewtobias.com/column/boeing-bangkok-buddha-part-i/" TargetMode="External"/><Relationship Id="rId9" Type="http://schemas.openxmlformats.org/officeDocument/2006/relationships/hyperlink" Target="http://andrewtobias.com/column/amazons-little-uptick/" TargetMode="External"/><Relationship Id="rId180" Type="http://schemas.openxmlformats.org/officeDocument/2006/relationships/hyperlink" Target="http://andrewtobias.com/column/can-the-koch-brothers-buy-america/" TargetMode="External"/><Relationship Id="rId26" Type="http://schemas.openxmlformats.org/officeDocument/2006/relationships/hyperlink" Target="http://andrewtobias.com/column/how-to-de-seed-watermelon/" TargetMode="External"/><Relationship Id="rId47" Type="http://schemas.openxmlformats.org/officeDocument/2006/relationships/hyperlink" Target="http://andrewtobias.com/column/caesar-tivo-seasons-picks-aol/" TargetMode="External"/><Relationship Id="rId68" Type="http://schemas.openxmlformats.org/officeDocument/2006/relationships/hyperlink" Target="http://andrewtobias.com/column/visit-the-monkeysphere/" TargetMode="External"/><Relationship Id="rId89" Type="http://schemas.openxmlformats.org/officeDocument/2006/relationships/hyperlink" Target="http://www.andrewtobias.com/newcolumns/071123.html" TargetMode="External"/><Relationship Id="rId112" Type="http://schemas.openxmlformats.org/officeDocument/2006/relationships/hyperlink" Target="http://andrewtobias.com/column/live-longer/" TargetMode="External"/><Relationship Id="rId133" Type="http://schemas.openxmlformats.org/officeDocument/2006/relationships/hyperlink" Target="http://andrewtobias.com/column/brave-new-world/" TargetMode="External"/><Relationship Id="rId154" Type="http://schemas.openxmlformats.org/officeDocument/2006/relationships/hyperlink" Target="http://andrewtobias.com/column/cvv-worth-1708/" TargetMode="External"/><Relationship Id="rId175" Type="http://schemas.openxmlformats.org/officeDocument/2006/relationships/hyperlink" Target="http://andrewtobias.com/column/leadie-gaga-mud-bkutk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26" Type="http://schemas.openxmlformats.org/officeDocument/2006/relationships/queryTable" Target="../queryTables/queryTable25.xml"/><Relationship Id="rId39" Type="http://schemas.openxmlformats.org/officeDocument/2006/relationships/queryTable" Target="../queryTables/queryTable38.xml"/><Relationship Id="rId21" Type="http://schemas.openxmlformats.org/officeDocument/2006/relationships/queryTable" Target="../queryTables/queryTable20.xml"/><Relationship Id="rId34" Type="http://schemas.openxmlformats.org/officeDocument/2006/relationships/queryTable" Target="../queryTables/queryTable33.xml"/><Relationship Id="rId42" Type="http://schemas.openxmlformats.org/officeDocument/2006/relationships/queryTable" Target="../queryTables/queryTable41.xml"/><Relationship Id="rId47" Type="http://schemas.openxmlformats.org/officeDocument/2006/relationships/queryTable" Target="../queryTables/queryTable46.xml"/><Relationship Id="rId50" Type="http://schemas.openxmlformats.org/officeDocument/2006/relationships/queryTable" Target="../queryTables/queryTable49.xml"/><Relationship Id="rId55" Type="http://schemas.openxmlformats.org/officeDocument/2006/relationships/queryTable" Target="../queryTables/queryTable54.xml"/><Relationship Id="rId63" Type="http://schemas.openxmlformats.org/officeDocument/2006/relationships/queryTable" Target="../queryTables/queryTable62.xml"/><Relationship Id="rId68" Type="http://schemas.openxmlformats.org/officeDocument/2006/relationships/queryTable" Target="../queryTables/queryTable67.xml"/><Relationship Id="rId76" Type="http://schemas.openxmlformats.org/officeDocument/2006/relationships/queryTable" Target="../queryTables/queryTable75.xml"/><Relationship Id="rId7" Type="http://schemas.openxmlformats.org/officeDocument/2006/relationships/queryTable" Target="../queryTables/queryTable6.xml"/><Relationship Id="rId71" Type="http://schemas.openxmlformats.org/officeDocument/2006/relationships/queryTable" Target="../queryTables/queryTable70.xml"/><Relationship Id="rId2" Type="http://schemas.openxmlformats.org/officeDocument/2006/relationships/queryTable" Target="../queryTables/queryTable1.xml"/><Relationship Id="rId16" Type="http://schemas.openxmlformats.org/officeDocument/2006/relationships/queryTable" Target="../queryTables/queryTable15.xml"/><Relationship Id="rId29" Type="http://schemas.openxmlformats.org/officeDocument/2006/relationships/queryTable" Target="../queryTables/queryTable28.xml"/><Relationship Id="rId11" Type="http://schemas.openxmlformats.org/officeDocument/2006/relationships/queryTable" Target="../queryTables/queryTable10.xml"/><Relationship Id="rId24" Type="http://schemas.openxmlformats.org/officeDocument/2006/relationships/queryTable" Target="../queryTables/queryTable23.xml"/><Relationship Id="rId32" Type="http://schemas.openxmlformats.org/officeDocument/2006/relationships/queryTable" Target="../queryTables/queryTable31.xml"/><Relationship Id="rId37" Type="http://schemas.openxmlformats.org/officeDocument/2006/relationships/queryTable" Target="../queryTables/queryTable36.xml"/><Relationship Id="rId40" Type="http://schemas.openxmlformats.org/officeDocument/2006/relationships/queryTable" Target="../queryTables/queryTable39.xml"/><Relationship Id="rId45" Type="http://schemas.openxmlformats.org/officeDocument/2006/relationships/queryTable" Target="../queryTables/queryTable44.xml"/><Relationship Id="rId53" Type="http://schemas.openxmlformats.org/officeDocument/2006/relationships/queryTable" Target="../queryTables/queryTable52.xml"/><Relationship Id="rId58" Type="http://schemas.openxmlformats.org/officeDocument/2006/relationships/queryTable" Target="../queryTables/queryTable57.xml"/><Relationship Id="rId66" Type="http://schemas.openxmlformats.org/officeDocument/2006/relationships/queryTable" Target="../queryTables/queryTable65.xml"/><Relationship Id="rId74" Type="http://schemas.openxmlformats.org/officeDocument/2006/relationships/queryTable" Target="../queryTables/queryTable73.xml"/><Relationship Id="rId5" Type="http://schemas.openxmlformats.org/officeDocument/2006/relationships/queryTable" Target="../queryTables/queryTable4.xml"/><Relationship Id="rId15" Type="http://schemas.openxmlformats.org/officeDocument/2006/relationships/queryTable" Target="../queryTables/queryTable14.xml"/><Relationship Id="rId23" Type="http://schemas.openxmlformats.org/officeDocument/2006/relationships/queryTable" Target="../queryTables/queryTable22.xml"/><Relationship Id="rId28" Type="http://schemas.openxmlformats.org/officeDocument/2006/relationships/queryTable" Target="../queryTables/queryTable27.xml"/><Relationship Id="rId36" Type="http://schemas.openxmlformats.org/officeDocument/2006/relationships/queryTable" Target="../queryTables/queryTable35.xml"/><Relationship Id="rId49" Type="http://schemas.openxmlformats.org/officeDocument/2006/relationships/queryTable" Target="../queryTables/queryTable48.xml"/><Relationship Id="rId57" Type="http://schemas.openxmlformats.org/officeDocument/2006/relationships/queryTable" Target="../queryTables/queryTable56.xml"/><Relationship Id="rId61" Type="http://schemas.openxmlformats.org/officeDocument/2006/relationships/queryTable" Target="../queryTables/queryTable60.xml"/><Relationship Id="rId10" Type="http://schemas.openxmlformats.org/officeDocument/2006/relationships/queryTable" Target="../queryTables/queryTable9.xml"/><Relationship Id="rId19" Type="http://schemas.openxmlformats.org/officeDocument/2006/relationships/queryTable" Target="../queryTables/queryTable18.xml"/><Relationship Id="rId31" Type="http://schemas.openxmlformats.org/officeDocument/2006/relationships/queryTable" Target="../queryTables/queryTable30.xml"/><Relationship Id="rId44" Type="http://schemas.openxmlformats.org/officeDocument/2006/relationships/queryTable" Target="../queryTables/queryTable43.xml"/><Relationship Id="rId52" Type="http://schemas.openxmlformats.org/officeDocument/2006/relationships/queryTable" Target="../queryTables/queryTable51.xml"/><Relationship Id="rId60" Type="http://schemas.openxmlformats.org/officeDocument/2006/relationships/queryTable" Target="../queryTables/queryTable59.xml"/><Relationship Id="rId65" Type="http://schemas.openxmlformats.org/officeDocument/2006/relationships/queryTable" Target="../queryTables/queryTable64.xml"/><Relationship Id="rId73" Type="http://schemas.openxmlformats.org/officeDocument/2006/relationships/queryTable" Target="../queryTables/queryTable72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4" Type="http://schemas.openxmlformats.org/officeDocument/2006/relationships/queryTable" Target="../queryTables/queryTable13.xml"/><Relationship Id="rId22" Type="http://schemas.openxmlformats.org/officeDocument/2006/relationships/queryTable" Target="../queryTables/queryTable21.xml"/><Relationship Id="rId27" Type="http://schemas.openxmlformats.org/officeDocument/2006/relationships/queryTable" Target="../queryTables/queryTable26.xml"/><Relationship Id="rId30" Type="http://schemas.openxmlformats.org/officeDocument/2006/relationships/queryTable" Target="../queryTables/queryTable29.xml"/><Relationship Id="rId35" Type="http://schemas.openxmlformats.org/officeDocument/2006/relationships/queryTable" Target="../queryTables/queryTable34.xml"/><Relationship Id="rId43" Type="http://schemas.openxmlformats.org/officeDocument/2006/relationships/queryTable" Target="../queryTables/queryTable42.xml"/><Relationship Id="rId48" Type="http://schemas.openxmlformats.org/officeDocument/2006/relationships/queryTable" Target="../queryTables/queryTable47.xml"/><Relationship Id="rId56" Type="http://schemas.openxmlformats.org/officeDocument/2006/relationships/queryTable" Target="../queryTables/queryTable55.xml"/><Relationship Id="rId64" Type="http://schemas.openxmlformats.org/officeDocument/2006/relationships/queryTable" Target="../queryTables/queryTable63.xml"/><Relationship Id="rId69" Type="http://schemas.openxmlformats.org/officeDocument/2006/relationships/queryTable" Target="../queryTables/queryTable68.xml"/><Relationship Id="rId8" Type="http://schemas.openxmlformats.org/officeDocument/2006/relationships/queryTable" Target="../queryTables/queryTable7.xml"/><Relationship Id="rId51" Type="http://schemas.openxmlformats.org/officeDocument/2006/relationships/queryTable" Target="../queryTables/queryTable50.xml"/><Relationship Id="rId72" Type="http://schemas.openxmlformats.org/officeDocument/2006/relationships/queryTable" Target="../queryTables/queryTable71.xml"/><Relationship Id="rId3" Type="http://schemas.openxmlformats.org/officeDocument/2006/relationships/queryTable" Target="../queryTables/queryTable2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5" Type="http://schemas.openxmlformats.org/officeDocument/2006/relationships/queryTable" Target="../queryTables/queryTable24.xml"/><Relationship Id="rId33" Type="http://schemas.openxmlformats.org/officeDocument/2006/relationships/queryTable" Target="../queryTables/queryTable32.xml"/><Relationship Id="rId38" Type="http://schemas.openxmlformats.org/officeDocument/2006/relationships/queryTable" Target="../queryTables/queryTable37.xml"/><Relationship Id="rId46" Type="http://schemas.openxmlformats.org/officeDocument/2006/relationships/queryTable" Target="../queryTables/queryTable45.xml"/><Relationship Id="rId59" Type="http://schemas.openxmlformats.org/officeDocument/2006/relationships/queryTable" Target="../queryTables/queryTable58.xml"/><Relationship Id="rId67" Type="http://schemas.openxmlformats.org/officeDocument/2006/relationships/queryTable" Target="../queryTables/queryTable66.xml"/><Relationship Id="rId20" Type="http://schemas.openxmlformats.org/officeDocument/2006/relationships/queryTable" Target="../queryTables/queryTable19.xml"/><Relationship Id="rId41" Type="http://schemas.openxmlformats.org/officeDocument/2006/relationships/queryTable" Target="../queryTables/queryTable40.xml"/><Relationship Id="rId54" Type="http://schemas.openxmlformats.org/officeDocument/2006/relationships/queryTable" Target="../queryTables/queryTable53.xml"/><Relationship Id="rId62" Type="http://schemas.openxmlformats.org/officeDocument/2006/relationships/queryTable" Target="../queryTables/queryTable61.xml"/><Relationship Id="rId70" Type="http://schemas.openxmlformats.org/officeDocument/2006/relationships/queryTable" Target="../queryTables/queryTable69.xml"/><Relationship Id="rId75" Type="http://schemas.openxmlformats.org/officeDocument/2006/relationships/queryTable" Target="../queryTables/queryTable74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665"/>
  <sheetViews>
    <sheetView tabSelected="1" topLeftCell="A3" workbookViewId="0">
      <pane ySplit="14" topLeftCell="A17" activePane="bottomLeft" state="frozen"/>
      <selection activeCell="A3" sqref="A3"/>
      <selection pane="bottomLeft" activeCell="B10" sqref="B10"/>
    </sheetView>
  </sheetViews>
  <sheetFormatPr defaultRowHeight="15" x14ac:dyDescent="0.25"/>
  <cols>
    <col min="1" max="1" width="9.28515625" customWidth="1"/>
    <col min="2" max="2" width="31" customWidth="1"/>
    <col min="3" max="3" width="7" customWidth="1"/>
    <col min="4" max="4" width="10.7109375" bestFit="1" customWidth="1"/>
    <col min="5" max="5" width="10.7109375" style="13" hidden="1" customWidth="1"/>
    <col min="6" max="6" width="9.5703125" bestFit="1" customWidth="1"/>
    <col min="7" max="7" width="9.85546875" customWidth="1"/>
    <col min="8" max="8" width="7.85546875" customWidth="1"/>
    <col min="9" max="9" width="9.7109375" customWidth="1"/>
    <col min="10" max="10" width="7.85546875" customWidth="1"/>
    <col min="11" max="11" width="10.140625" customWidth="1"/>
    <col min="12" max="12" width="10.7109375" style="15" hidden="1" customWidth="1"/>
    <col min="13" max="13" width="12.28515625" customWidth="1"/>
    <col min="14" max="14" width="8.5703125" bestFit="1" customWidth="1"/>
    <col min="15" max="15" width="9.7109375" customWidth="1"/>
    <col min="16" max="16" width="11" customWidth="1"/>
    <col min="17" max="17" width="69" customWidth="1"/>
    <col min="26" max="26" width="10.7109375" bestFit="1" customWidth="1"/>
  </cols>
  <sheetData>
    <row r="1" spans="1:22" x14ac:dyDescent="0.25">
      <c r="A1" s="8"/>
    </row>
    <row r="3" spans="1:22" x14ac:dyDescent="0.25">
      <c r="A3" t="s">
        <v>571</v>
      </c>
    </row>
    <row r="4" spans="1:22" ht="18.75" x14ac:dyDescent="0.3">
      <c r="B4" s="29" t="s">
        <v>641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22" ht="18.75" x14ac:dyDescent="0.3">
      <c r="B5" s="27"/>
      <c r="C5" s="27"/>
      <c r="D5" s="27"/>
      <c r="E5" s="27"/>
      <c r="F5" s="27"/>
      <c r="G5" s="28"/>
      <c r="H5" s="27"/>
      <c r="I5" s="27"/>
      <c r="J5" s="27"/>
      <c r="K5" s="27"/>
      <c r="L5" s="27"/>
      <c r="M5" s="27"/>
    </row>
    <row r="6" spans="1:2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22" x14ac:dyDescent="0.25">
      <c r="B7" s="8" t="s">
        <v>633</v>
      </c>
      <c r="C7">
        <v>196</v>
      </c>
      <c r="D7" t="s">
        <v>639</v>
      </c>
      <c r="I7" s="23">
        <f>C7*1000</f>
        <v>196000</v>
      </c>
      <c r="J7" t="s">
        <v>634</v>
      </c>
      <c r="M7" s="25">
        <f>M215</f>
        <v>378673.31885710289</v>
      </c>
    </row>
    <row r="8" spans="1:22" x14ac:dyDescent="0.25">
      <c r="B8" s="8"/>
      <c r="G8" s="23"/>
      <c r="I8" s="8" t="s">
        <v>635</v>
      </c>
      <c r="M8" s="24">
        <f ca="1">N218</f>
        <v>0.1466532647609711</v>
      </c>
    </row>
    <row r="9" spans="1:22" x14ac:dyDescent="0.25">
      <c r="B9" s="8"/>
      <c r="G9" s="23"/>
      <c r="I9" t="s">
        <v>636</v>
      </c>
      <c r="M9" s="3">
        <f ca="1">N216</f>
        <v>4.4497422680412342</v>
      </c>
      <c r="N9" t="s">
        <v>637</v>
      </c>
    </row>
    <row r="10" spans="1:22" x14ac:dyDescent="0.25">
      <c r="B10" s="8"/>
      <c r="G10" s="23"/>
      <c r="I10" t="s">
        <v>638</v>
      </c>
      <c r="M10" s="12">
        <f>O216</f>
        <v>0.93731088022131936</v>
      </c>
    </row>
    <row r="11" spans="1:22" x14ac:dyDescent="0.25">
      <c r="B11" s="8"/>
      <c r="G11" s="23"/>
      <c r="M11" s="3"/>
    </row>
    <row r="12" spans="1:22" x14ac:dyDescent="0.25">
      <c r="B12" s="8"/>
      <c r="C12" t="s">
        <v>640</v>
      </c>
      <c r="G12" s="23"/>
      <c r="I12" s="23">
        <f>I7</f>
        <v>196000</v>
      </c>
      <c r="J12" t="s">
        <v>634</v>
      </c>
      <c r="M12" s="25">
        <f>M501</f>
        <v>282387.94847032172</v>
      </c>
    </row>
    <row r="13" spans="1:22" x14ac:dyDescent="0.25">
      <c r="B13" s="8"/>
      <c r="G13" s="23"/>
      <c r="I13" t="s">
        <v>635</v>
      </c>
      <c r="M13" s="24">
        <f ca="1">N505</f>
        <v>7.3405459523201003E-2</v>
      </c>
    </row>
    <row r="14" spans="1:22" x14ac:dyDescent="0.25">
      <c r="I14" t="s">
        <v>636</v>
      </c>
      <c r="M14" s="3">
        <f ca="1">M9</f>
        <v>4.4497422680412342</v>
      </c>
      <c r="N14" t="s">
        <v>637</v>
      </c>
    </row>
    <row r="16" spans="1:22" s="1" customFormat="1" ht="95.25" customHeight="1" x14ac:dyDescent="0.25">
      <c r="A16" s="4" t="s">
        <v>0</v>
      </c>
      <c r="B16" s="4" t="s">
        <v>1</v>
      </c>
      <c r="C16" s="4" t="s">
        <v>2</v>
      </c>
      <c r="D16" s="4" t="s">
        <v>4</v>
      </c>
      <c r="E16" s="14" t="s">
        <v>506</v>
      </c>
      <c r="F16" s="4" t="s">
        <v>5</v>
      </c>
      <c r="G16" s="4" t="s">
        <v>235</v>
      </c>
      <c r="H16" s="4" t="s">
        <v>15</v>
      </c>
      <c r="I16" s="4" t="s">
        <v>236</v>
      </c>
      <c r="J16" s="4" t="s">
        <v>237</v>
      </c>
      <c r="K16" s="11" t="s">
        <v>642</v>
      </c>
      <c r="L16" s="16" t="s">
        <v>507</v>
      </c>
      <c r="M16" s="4" t="s">
        <v>7</v>
      </c>
      <c r="N16" s="4" t="s">
        <v>3</v>
      </c>
      <c r="O16" s="4" t="s">
        <v>238</v>
      </c>
      <c r="P16" s="4" t="s">
        <v>239</v>
      </c>
      <c r="Q16" s="4" t="s">
        <v>6</v>
      </c>
      <c r="R16" s="4" t="s">
        <v>16</v>
      </c>
      <c r="S16" s="11"/>
      <c r="T16" s="4"/>
      <c r="U16" s="4"/>
      <c r="V16" s="5"/>
    </row>
    <row r="17" spans="1:26" x14ac:dyDescent="0.25">
      <c r="A17" t="s">
        <v>9</v>
      </c>
      <c r="B17" t="s">
        <v>8</v>
      </c>
      <c r="C17" t="s">
        <v>10</v>
      </c>
      <c r="D17" s="2">
        <v>35425</v>
      </c>
      <c r="E17" s="13">
        <f ca="1">D17+(365.25*N17)</f>
        <v>41627.245205479448</v>
      </c>
      <c r="F17" s="3">
        <v>11.89</v>
      </c>
      <c r="G17" s="3">
        <f>1000/F17</f>
        <v>84.104289318755249</v>
      </c>
      <c r="H17" s="3">
        <v>1</v>
      </c>
      <c r="I17" s="3">
        <f>G17*(0.24+0.59+0.55+0.55+0.81+0.12+0.04+0.04+0.04+0.03+0.04+0.05+0.08+0.34+1.08+2.04+0.4+0.14+0.1+0.12+0.17)</f>
        <v>636.66947014297716</v>
      </c>
      <c r="J17" s="3">
        <v>0</v>
      </c>
      <c r="K17" s="3">
        <f>'Data (ignore)'!B3</f>
        <v>23.25</v>
      </c>
      <c r="L17" s="15">
        <v>-1000</v>
      </c>
      <c r="M17" s="10">
        <f>G17*H17*K17+(I17)+(J17)</f>
        <v>2592.094196804037</v>
      </c>
      <c r="N17" s="3">
        <f ca="1">($Z$17-D17)/365</f>
        <v>16.980821917808218</v>
      </c>
      <c r="O17" s="12">
        <f t="shared" ref="O17:O34" si="0">(M17-1000)/1000</f>
        <v>1.592094196804037</v>
      </c>
      <c r="P17" s="12">
        <f ca="1">(M17/1000)^(1/N17)-1</f>
        <v>5.7693607914178546E-2</v>
      </c>
      <c r="Q17" s="9" t="s">
        <v>11</v>
      </c>
      <c r="Z17" s="2">
        <f ca="1">TODAY()</f>
        <v>41623</v>
      </c>
    </row>
    <row r="18" spans="1:26" x14ac:dyDescent="0.25">
      <c r="A18" t="s">
        <v>12</v>
      </c>
      <c r="B18" t="s">
        <v>13</v>
      </c>
      <c r="C18" t="s">
        <v>10</v>
      </c>
      <c r="D18" s="2">
        <v>35439</v>
      </c>
      <c r="E18" s="13">
        <f t="shared" ref="E18:E81" ca="1" si="1">D18+(365.25*N18)</f>
        <v>41627.235616438353</v>
      </c>
      <c r="F18" s="3">
        <v>33.380000000000003</v>
      </c>
      <c r="G18" s="3">
        <f t="shared" ref="G18:G87" si="2">1000/F18</f>
        <v>29.958058717795083</v>
      </c>
      <c r="H18" s="3">
        <v>2</v>
      </c>
      <c r="I18" s="3">
        <v>0</v>
      </c>
      <c r="J18" s="3">
        <f>G18*H18*45.59</f>
        <v>2731.5757938885558</v>
      </c>
      <c r="K18" s="3">
        <f>'Data (ignore)'!B11</f>
        <v>32.07</v>
      </c>
      <c r="L18" s="15">
        <v>-1000</v>
      </c>
      <c r="M18" s="10">
        <f>G18*H18*K18+(I18)+(J18)</f>
        <v>4653.0856800479323</v>
      </c>
      <c r="N18" s="3">
        <f ca="1">($Z$17-D18)/365</f>
        <v>16.942465753424656</v>
      </c>
      <c r="O18" s="12">
        <f t="shared" si="0"/>
        <v>3.6530856800479325</v>
      </c>
      <c r="P18" s="12">
        <f ca="1">(M18/1000)^(1/N18)-1</f>
        <v>9.4995339826559055E-2</v>
      </c>
      <c r="Q18" s="9" t="s">
        <v>14</v>
      </c>
      <c r="R18" t="s">
        <v>17</v>
      </c>
    </row>
    <row r="19" spans="1:26" x14ac:dyDescent="0.25">
      <c r="A19" t="s">
        <v>18</v>
      </c>
      <c r="B19" t="s">
        <v>19</v>
      </c>
      <c r="C19" t="s">
        <v>10</v>
      </c>
      <c r="D19" s="2">
        <v>35528</v>
      </c>
      <c r="E19" s="13">
        <f t="shared" ca="1" si="1"/>
        <v>41627.174657534248</v>
      </c>
      <c r="F19" s="3">
        <v>0.7</v>
      </c>
      <c r="G19" s="3">
        <f t="shared" si="2"/>
        <v>1428.5714285714287</v>
      </c>
      <c r="H19" s="3">
        <v>1</v>
      </c>
      <c r="I19" s="3">
        <v>0</v>
      </c>
      <c r="J19" s="3">
        <v>0</v>
      </c>
      <c r="K19" s="3">
        <v>0.22</v>
      </c>
      <c r="L19" s="15">
        <v>-1000</v>
      </c>
      <c r="M19" s="10">
        <f>G19*H19*K19+(I19)+(J19)</f>
        <v>314.28571428571433</v>
      </c>
      <c r="N19" s="3">
        <f ca="1">($Z$17-D19)/365</f>
        <v>16.698630136986303</v>
      </c>
      <c r="O19" s="12">
        <f t="shared" si="0"/>
        <v>-0.68571428571428572</v>
      </c>
      <c r="P19" s="12">
        <f ca="1">(M19/1000)^(1/N19)-1</f>
        <v>-6.6966558605084048E-2</v>
      </c>
      <c r="Q19" s="9" t="s">
        <v>224</v>
      </c>
      <c r="R19" t="s">
        <v>539</v>
      </c>
    </row>
    <row r="20" spans="1:26" x14ac:dyDescent="0.25">
      <c r="A20" t="s">
        <v>20</v>
      </c>
      <c r="B20" t="s">
        <v>21</v>
      </c>
      <c r="C20" t="s">
        <v>10</v>
      </c>
      <c r="D20" s="2">
        <v>35541</v>
      </c>
      <c r="E20" s="13">
        <f t="shared" si="1"/>
        <v>36629.745205479456</v>
      </c>
      <c r="F20" s="3">
        <v>10</v>
      </c>
      <c r="G20" s="3">
        <f t="shared" si="2"/>
        <v>100</v>
      </c>
      <c r="H20" s="3">
        <v>1</v>
      </c>
      <c r="I20" s="3">
        <v>0</v>
      </c>
      <c r="J20" s="3">
        <v>0</v>
      </c>
      <c r="K20" s="3">
        <v>40</v>
      </c>
      <c r="L20" s="15">
        <v>-1000</v>
      </c>
      <c r="M20" s="10">
        <f>50*20+50*40</f>
        <v>3000</v>
      </c>
      <c r="N20" s="3">
        <f>(Z20-D20)/365</f>
        <v>2.9808219178082194</v>
      </c>
      <c r="O20" s="12">
        <f t="shared" si="0"/>
        <v>2</v>
      </c>
      <c r="P20" s="12">
        <f>(M20/1000)^(1/N20)-1</f>
        <v>0.44565164998108386</v>
      </c>
      <c r="Q20" s="9" t="s">
        <v>226</v>
      </c>
      <c r="R20" t="s">
        <v>225</v>
      </c>
      <c r="Z20" s="2">
        <v>36629</v>
      </c>
    </row>
    <row r="21" spans="1:26" x14ac:dyDescent="0.25">
      <c r="A21" t="s">
        <v>22</v>
      </c>
      <c r="B21" t="s">
        <v>23</v>
      </c>
      <c r="C21" t="s">
        <v>10</v>
      </c>
      <c r="D21" s="2">
        <v>35710</v>
      </c>
      <c r="E21" s="13">
        <f t="shared" si="1"/>
        <v>40394.206164383562</v>
      </c>
      <c r="F21" s="3">
        <v>50</v>
      </c>
      <c r="G21" s="3">
        <f t="shared" si="2"/>
        <v>20</v>
      </c>
      <c r="H21" s="3">
        <v>1</v>
      </c>
      <c r="I21" s="3">
        <f>G21*(2+2+2+2+2+2+2+2+1)+(12*(0.2*10+0.22+0.22+0.22+0.22+0.24+0.24+0.24+0.24+0.255+0.255+0.255+0.255+0.28+0.28+0.28+0.28+0.31+0.31+0.31+0.31+0.375+0.375+0.375+0.375+0.43+0.43+0.43+0.43+0.5+0.5+0.5+0.5+0.55+0.55+0.55))+(4*(0.125))</f>
        <v>509.58000000000004</v>
      </c>
      <c r="J21" s="3">
        <f>51*85.28+12*57.96+4*33.85+1.5*18.02</f>
        <v>5207.2299999999987</v>
      </c>
      <c r="K21" s="3">
        <v>0</v>
      </c>
      <c r="L21" s="15">
        <v>-1000</v>
      </c>
      <c r="M21" s="10">
        <f>G21*H21*K21+(I21)+(J21)</f>
        <v>5716.8099999999986</v>
      </c>
      <c r="N21" s="3">
        <f>(DATE(2010,8,1)-D21)/365</f>
        <v>12.824657534246576</v>
      </c>
      <c r="O21" s="12">
        <f t="shared" si="0"/>
        <v>4.7168099999999988</v>
      </c>
      <c r="P21" s="12">
        <f>(M21/1000)^(1/N21)-1</f>
        <v>0.14561556772721529</v>
      </c>
      <c r="Q21" s="9" t="s">
        <v>255</v>
      </c>
      <c r="R21" t="s">
        <v>254</v>
      </c>
    </row>
    <row r="22" spans="1:26" ht="15" customHeight="1" x14ac:dyDescent="0.25">
      <c r="A22" t="s">
        <v>24</v>
      </c>
      <c r="B22" t="s">
        <v>25</v>
      </c>
      <c r="C22" t="s">
        <v>26</v>
      </c>
      <c r="D22" s="2">
        <v>35902</v>
      </c>
      <c r="E22" s="13">
        <f t="shared" si="1"/>
        <v>36308.278082191784</v>
      </c>
      <c r="F22" s="3">
        <v>94.88</v>
      </c>
      <c r="G22" s="3">
        <f t="shared" si="2"/>
        <v>10.539629005059023</v>
      </c>
      <c r="H22" s="3">
        <v>6</v>
      </c>
      <c r="I22" s="3">
        <v>0</v>
      </c>
      <c r="J22" s="3">
        <v>0</v>
      </c>
      <c r="K22" s="3">
        <v>118.75</v>
      </c>
      <c r="L22" s="15">
        <v>-1000</v>
      </c>
      <c r="M22" s="10">
        <f>(G22*F22)-(G22*H22*K22)+1000</f>
        <v>-5509.4856661045542</v>
      </c>
      <c r="N22" s="3">
        <f>(DATE(1999,5,28)-D22)/365</f>
        <v>1.1123287671232878</v>
      </c>
      <c r="O22" s="12">
        <f t="shared" si="0"/>
        <v>-6.5094856661045544</v>
      </c>
      <c r="P22" s="12">
        <f>O22/N22</f>
        <v>-5.8521238131235522</v>
      </c>
      <c r="Q22" s="9" t="s">
        <v>228</v>
      </c>
      <c r="R22" t="s">
        <v>227</v>
      </c>
    </row>
    <row r="23" spans="1:26" x14ac:dyDescent="0.25">
      <c r="A23" t="s">
        <v>29</v>
      </c>
      <c r="B23" t="s">
        <v>30</v>
      </c>
      <c r="C23" t="s">
        <v>10</v>
      </c>
      <c r="D23" s="2">
        <v>36020</v>
      </c>
      <c r="E23" s="13">
        <f t="shared" si="1"/>
        <v>36567.374657534245</v>
      </c>
      <c r="F23" s="3">
        <v>0.6</v>
      </c>
      <c r="G23" s="3">
        <f t="shared" si="2"/>
        <v>1666.6666666666667</v>
      </c>
      <c r="H23" s="3">
        <v>1</v>
      </c>
      <c r="I23" s="3">
        <v>0</v>
      </c>
      <c r="J23" s="3">
        <v>0</v>
      </c>
      <c r="K23" s="3">
        <v>3.25</v>
      </c>
      <c r="L23" s="15">
        <v>-1000</v>
      </c>
      <c r="M23" s="10">
        <f>G23*H23*K23+(I23)+(J23)</f>
        <v>5416.666666666667</v>
      </c>
      <c r="N23" s="3">
        <f>(DATE(2000,2,11)-D23)/365</f>
        <v>1.4986301369863013</v>
      </c>
      <c r="O23" s="12">
        <f t="shared" si="0"/>
        <v>4.416666666666667</v>
      </c>
      <c r="P23" s="12">
        <f>(M23/1000)^(1/N23)-1</f>
        <v>2.087463736878592</v>
      </c>
      <c r="Q23" s="9" t="s">
        <v>230</v>
      </c>
      <c r="R23" t="s">
        <v>231</v>
      </c>
    </row>
    <row r="24" spans="1:26" x14ac:dyDescent="0.25">
      <c r="A24" t="s">
        <v>24</v>
      </c>
      <c r="B24" t="s">
        <v>25</v>
      </c>
      <c r="C24" t="s">
        <v>26</v>
      </c>
      <c r="D24" s="2">
        <v>36115</v>
      </c>
      <c r="E24" s="13">
        <f t="shared" si="1"/>
        <v>36308.132191780824</v>
      </c>
      <c r="F24" s="3">
        <v>128</v>
      </c>
      <c r="G24" s="3">
        <f t="shared" si="2"/>
        <v>7.8125</v>
      </c>
      <c r="H24" s="3">
        <v>6</v>
      </c>
      <c r="I24" s="3">
        <v>0</v>
      </c>
      <c r="J24" s="3">
        <v>0</v>
      </c>
      <c r="K24" s="3">
        <v>33.94</v>
      </c>
      <c r="L24" s="15">
        <v>-1000</v>
      </c>
      <c r="M24" s="10">
        <f>(G24*F24)-(G24*H24*K24)+1000</f>
        <v>409.0625</v>
      </c>
      <c r="N24" s="3">
        <f>(DATE(1999,5,28)-D24)/365</f>
        <v>0.52876712328767128</v>
      </c>
      <c r="O24" s="12">
        <f t="shared" si="0"/>
        <v>-0.5909375</v>
      </c>
      <c r="P24" s="12">
        <f>O24/N24</f>
        <v>-1.1175761010362693</v>
      </c>
      <c r="Q24" s="9" t="s">
        <v>229</v>
      </c>
      <c r="R24" t="s">
        <v>244</v>
      </c>
    </row>
    <row r="25" spans="1:26" ht="15" customHeight="1" x14ac:dyDescent="0.25">
      <c r="A25" t="s">
        <v>27</v>
      </c>
      <c r="B25" t="s">
        <v>28</v>
      </c>
      <c r="C25" t="s">
        <v>10</v>
      </c>
      <c r="D25" s="2">
        <v>36480</v>
      </c>
      <c r="E25" s="13">
        <f t="shared" ca="1" si="1"/>
        <v>41626.522602739729</v>
      </c>
      <c r="F25" s="3">
        <v>3.55</v>
      </c>
      <c r="G25" s="3">
        <f t="shared" si="2"/>
        <v>281.69014084507046</v>
      </c>
      <c r="H25" s="3">
        <v>1</v>
      </c>
      <c r="I25" s="3">
        <v>0</v>
      </c>
      <c r="J25" s="3">
        <v>0</v>
      </c>
      <c r="K25" s="3">
        <f>'Data (ignore)'!B1172</f>
        <v>16.8</v>
      </c>
      <c r="L25" s="15">
        <v>-1000</v>
      </c>
      <c r="M25" s="10">
        <f>1000/F25*K25</f>
        <v>4732.3943661971844</v>
      </c>
      <c r="N25" s="3">
        <f ca="1">($Z$17-D25)/365</f>
        <v>14.09041095890411</v>
      </c>
      <c r="O25" s="12">
        <f t="shared" si="0"/>
        <v>3.7323943661971843</v>
      </c>
      <c r="P25" s="12">
        <f t="shared" ref="P25:P34" ca="1" si="3">(M25/1000)^(1/N25)-1</f>
        <v>0.11663352546604022</v>
      </c>
      <c r="Q25" s="9" t="s">
        <v>232</v>
      </c>
      <c r="R25" t="s">
        <v>233</v>
      </c>
    </row>
    <row r="26" spans="1:26" ht="15" customHeight="1" x14ac:dyDescent="0.25">
      <c r="A26" t="s">
        <v>240</v>
      </c>
      <c r="B26" t="s">
        <v>241</v>
      </c>
      <c r="C26" t="s">
        <v>10</v>
      </c>
      <c r="D26" s="2">
        <v>36599</v>
      </c>
      <c r="E26" s="13">
        <f t="shared" si="1"/>
        <v>39016.654794520546</v>
      </c>
      <c r="F26" s="3">
        <v>13.13</v>
      </c>
      <c r="G26" s="3">
        <f t="shared" si="2"/>
        <v>76.161462300076153</v>
      </c>
      <c r="H26" s="3">
        <v>1</v>
      </c>
      <c r="I26" s="3">
        <v>0</v>
      </c>
      <c r="J26" s="3">
        <v>0</v>
      </c>
      <c r="K26" s="3">
        <v>34.75</v>
      </c>
      <c r="L26" s="15">
        <v>-1000</v>
      </c>
      <c r="M26" s="10">
        <f>G26*H26*K26+(I26)+(J26)</f>
        <v>2646.6108149276465</v>
      </c>
      <c r="N26" s="3">
        <f>(DATE(2006,10,25)-D26)/365</f>
        <v>6.6191780821917812</v>
      </c>
      <c r="O26" s="12">
        <f t="shared" si="0"/>
        <v>1.6466108149276466</v>
      </c>
      <c r="P26" s="12">
        <f t="shared" si="3"/>
        <v>0.15839958732406778</v>
      </c>
      <c r="Q26" s="9" t="s">
        <v>234</v>
      </c>
      <c r="R26" t="s">
        <v>242</v>
      </c>
    </row>
    <row r="27" spans="1:26" ht="15" customHeight="1" x14ac:dyDescent="0.25">
      <c r="A27" t="s">
        <v>31</v>
      </c>
      <c r="B27" t="s">
        <v>32</v>
      </c>
      <c r="C27" t="s">
        <v>10</v>
      </c>
      <c r="D27" s="2">
        <v>36599</v>
      </c>
      <c r="E27" s="13">
        <f t="shared" ca="1" si="1"/>
        <v>41626.441095890412</v>
      </c>
      <c r="F27" s="3">
        <v>22.19</v>
      </c>
      <c r="G27" s="3">
        <f t="shared" si="2"/>
        <v>45.065344749887331</v>
      </c>
      <c r="H27" s="3">
        <v>0.5</v>
      </c>
      <c r="I27" s="3">
        <f>(G27/4)*(14+0.1+0.1+0.1+0.1+0.15)+G27/2*(0.1+0.1+0.1)</f>
        <v>170.68499324019825</v>
      </c>
      <c r="J27" s="3">
        <v>0</v>
      </c>
      <c r="K27" s="3">
        <f>'Data (ignore)'!B27</f>
        <v>12.08</v>
      </c>
      <c r="L27" s="15">
        <v>-1000</v>
      </c>
      <c r="M27" s="10">
        <f t="shared" ref="M27:M34" si="4">G27*H27*K27+(I27)+(J27)</f>
        <v>442.87967552951773</v>
      </c>
      <c r="N27" s="3">
        <f t="shared" ref="N27:N33" ca="1" si="5">($Z$17-D27)/365</f>
        <v>13.764383561643836</v>
      </c>
      <c r="O27" s="12">
        <f t="shared" si="0"/>
        <v>-0.55712032447048232</v>
      </c>
      <c r="P27" s="12">
        <f t="shared" ca="1" si="3"/>
        <v>-5.7454749903100288E-2</v>
      </c>
      <c r="Q27" s="9" t="s">
        <v>234</v>
      </c>
    </row>
    <row r="28" spans="1:26" ht="15" customHeight="1" x14ac:dyDescent="0.25">
      <c r="A28" t="s">
        <v>33</v>
      </c>
      <c r="B28" t="s">
        <v>34</v>
      </c>
      <c r="C28" t="s">
        <v>10</v>
      </c>
      <c r="D28" s="2">
        <v>36599</v>
      </c>
      <c r="E28" s="13">
        <f t="shared" ca="1" si="1"/>
        <v>41626.441095890412</v>
      </c>
      <c r="F28" s="3">
        <v>40.119999999999997</v>
      </c>
      <c r="G28" s="3">
        <f t="shared" si="2"/>
        <v>24.925224327018945</v>
      </c>
      <c r="H28" s="3">
        <v>2</v>
      </c>
      <c r="I28" s="3">
        <f>G28*2*(0.13+0.13+0.13+0.13+0.14+0.14+0.14+0.14+0.15+0.15+0.15+0.15+0.16+0.16+0.16+0.16+0.18+0.18+0.18+0.18+0.2+0.2+0.2+0.2+0.23+0.23+0.23+0.23+0.29+0.29+0.29+0.29+0.35+0.35+0.35+0.35+0.38+0.38+0.38+0.38+0.42+0.42+0.42+0.42+0.47+0.47+0.47+0.47+0.51+0.51+0.51+0.51+0.56+0.56+0.56)</f>
        <v>803.58923230309097</v>
      </c>
      <c r="J28" s="3">
        <v>0</v>
      </c>
      <c r="K28" s="3">
        <f>'Data (ignore)'!B43</f>
        <v>89.89</v>
      </c>
      <c r="L28" s="15">
        <v>-1000</v>
      </c>
      <c r="M28" s="10">
        <f t="shared" si="4"/>
        <v>5284.6460618145575</v>
      </c>
      <c r="N28" s="3">
        <f t="shared" ca="1" si="5"/>
        <v>13.764383561643836</v>
      </c>
      <c r="O28" s="12">
        <f t="shared" si="0"/>
        <v>4.2846460618145574</v>
      </c>
      <c r="P28" s="12">
        <f t="shared" ca="1" si="3"/>
        <v>0.12856876581223697</v>
      </c>
      <c r="Q28" s="9" t="s">
        <v>234</v>
      </c>
    </row>
    <row r="29" spans="1:26" ht="15" customHeight="1" x14ac:dyDescent="0.25">
      <c r="A29" t="s">
        <v>35</v>
      </c>
      <c r="B29" t="s">
        <v>36</v>
      </c>
      <c r="C29" t="s">
        <v>10</v>
      </c>
      <c r="D29" s="2">
        <v>36599</v>
      </c>
      <c r="E29" s="13">
        <f t="shared" ca="1" si="1"/>
        <v>41626.441095890412</v>
      </c>
      <c r="F29" s="3">
        <v>24.75</v>
      </c>
      <c r="G29" s="3">
        <f t="shared" si="2"/>
        <v>40.404040404040401</v>
      </c>
      <c r="H29" s="3">
        <v>1</v>
      </c>
      <c r="I29" s="3">
        <f>G29*(0.08+0.08+0.08+0.08+0.1+0.1+0.1+0.1+0.12+0.12+0.12+0.12+0.12+0.14+0.14+0.14+0.14+0.14+0.14+0.14+0.14+0.14+0.05+0.05+0.05+0.05+0.05+0.05+0.05+0.05+0.05+0.05+0.05+0.05+0.05+0.05+0.05+0.05+0.05+0.05+0.05+0.05)</f>
        <v>144.64646464646455</v>
      </c>
      <c r="J29" s="3">
        <v>0</v>
      </c>
      <c r="K29" s="3">
        <f>'Data (ignore)'!B59</f>
        <v>14.37</v>
      </c>
      <c r="L29" s="15">
        <v>-1000</v>
      </c>
      <c r="M29" s="10">
        <f t="shared" si="4"/>
        <v>725.25252525252506</v>
      </c>
      <c r="N29" s="3">
        <f t="shared" ca="1" si="5"/>
        <v>13.764383561643836</v>
      </c>
      <c r="O29" s="12">
        <f t="shared" si="0"/>
        <v>-0.27474747474747496</v>
      </c>
      <c r="P29" s="12">
        <f t="shared" ca="1" si="3"/>
        <v>-2.3067930602208686E-2</v>
      </c>
      <c r="Q29" s="9" t="s">
        <v>234</v>
      </c>
      <c r="R29" s="3"/>
    </row>
    <row r="30" spans="1:26" ht="15" customHeight="1" x14ac:dyDescent="0.25">
      <c r="A30" t="s">
        <v>37</v>
      </c>
      <c r="B30" t="s">
        <v>38</v>
      </c>
      <c r="C30" t="s">
        <v>10</v>
      </c>
      <c r="D30" s="2">
        <v>36599</v>
      </c>
      <c r="E30" s="13">
        <f t="shared" ca="1" si="1"/>
        <v>41626.441095890412</v>
      </c>
      <c r="F30" s="3">
        <v>17.940000000000001</v>
      </c>
      <c r="G30" s="3">
        <f t="shared" si="2"/>
        <v>55.741360089186173</v>
      </c>
      <c r="H30" s="3">
        <v>1</v>
      </c>
      <c r="I30" s="3">
        <f>G30*(0.17+0.17+0.17+0.188+0.188+0.188+0.188+0.195+0.195+0.195+0.195+0.195+0.205+0.205+0.24+0.416+0.24+0.24+0.24+0.3+0.3+0.3+0.3+0.33+0.33+0.33+0.33+0.4+0.4+0.4+0.4+0.425+0.425+0.425+0.425+0.425+0.05+0.05+0.05+0.05+0.05+0.05+0.05+0.05+0.125+0.125+0.125+0.125+0.195*5+0.23+0.23)</f>
        <v>702.50836120401391</v>
      </c>
      <c r="J30" s="3">
        <v>0</v>
      </c>
      <c r="K30" s="3">
        <f>'Data (ignore)'!B75</f>
        <v>39.200000000000003</v>
      </c>
      <c r="L30" s="15">
        <v>-1000</v>
      </c>
      <c r="M30" s="10">
        <f t="shared" si="4"/>
        <v>2887.5696767001123</v>
      </c>
      <c r="N30" s="3">
        <f t="shared" ca="1" si="5"/>
        <v>13.764383561643836</v>
      </c>
      <c r="O30" s="12">
        <f t="shared" si="0"/>
        <v>1.8875696767001122</v>
      </c>
      <c r="P30" s="12">
        <f t="shared" ca="1" si="3"/>
        <v>8.0085835793402449E-2</v>
      </c>
      <c r="Q30" s="9" t="s">
        <v>234</v>
      </c>
    </row>
    <row r="31" spans="1:26" ht="15" customHeight="1" x14ac:dyDescent="0.25">
      <c r="A31" t="s">
        <v>39</v>
      </c>
      <c r="B31" t="s">
        <v>40</v>
      </c>
      <c r="C31" t="s">
        <v>10</v>
      </c>
      <c r="D31" s="2">
        <v>36649</v>
      </c>
      <c r="E31" s="13">
        <f t="shared" ca="1" si="1"/>
        <v>41626.40684931507</v>
      </c>
      <c r="F31" s="3">
        <v>36.380000000000003</v>
      </c>
      <c r="G31" s="3">
        <f t="shared" si="2"/>
        <v>27.487630566245187</v>
      </c>
      <c r="H31" s="3">
        <v>1</v>
      </c>
      <c r="I31" s="3">
        <f>G31*(0.48+0.48+0.53+0.53+0.53+0.6+0.66+0.31+0.66+0.66+0.66+0.68+0.68+0.68+0.68+0.71+0.16+0.87+0.71+0.71+0.76+0.76+0.76+0.76+0.8+0.77+0.8+0.8+0.8+1.39+0.85+0.85+0.85+0.9+0.9+0.9+0.9+0.95+0.95+0.95+0.375+0.375+0.65+0.65+0.65+0.65+0.69+0.69+0.69+0.69+0.69+0.73+0.73+0.73+0.73)</f>
        <v>1074.7663551401861</v>
      </c>
      <c r="J31" s="3">
        <v>0</v>
      </c>
      <c r="K31" s="3">
        <f>'Data (ignore)'!B91</f>
        <v>87.29</v>
      </c>
      <c r="L31" s="15">
        <v>-1000</v>
      </c>
      <c r="M31" s="10">
        <f t="shared" si="4"/>
        <v>3474.1616272677288</v>
      </c>
      <c r="N31" s="3">
        <f t="shared" ca="1" si="5"/>
        <v>13.627397260273973</v>
      </c>
      <c r="O31" s="12">
        <f t="shared" si="0"/>
        <v>2.4741616272677289</v>
      </c>
      <c r="P31" s="12">
        <f t="shared" ca="1" si="3"/>
        <v>9.5691849889410152E-2</v>
      </c>
      <c r="Q31" s="9" t="s">
        <v>243</v>
      </c>
    </row>
    <row r="32" spans="1:26" ht="15" customHeight="1" x14ac:dyDescent="0.25">
      <c r="A32" t="s">
        <v>41</v>
      </c>
      <c r="B32" t="s">
        <v>42</v>
      </c>
      <c r="C32" t="s">
        <v>10</v>
      </c>
      <c r="D32" s="2">
        <v>36649</v>
      </c>
      <c r="E32" s="13">
        <f t="shared" ca="1" si="1"/>
        <v>41626.40684931507</v>
      </c>
      <c r="F32" s="3">
        <v>16.420000000000002</v>
      </c>
      <c r="G32" s="3">
        <f t="shared" si="2"/>
        <v>60.901339829476242</v>
      </c>
      <c r="H32" s="3">
        <v>1</v>
      </c>
      <c r="I32" s="3">
        <f>G32*(1.56+1.56+1.56+1.56+1.6+1.67+1.76+1.88+1.54+1.44+1.44+0.36*8)</f>
        <v>1245.4323995127891</v>
      </c>
      <c r="J32" s="3">
        <v>0</v>
      </c>
      <c r="K32" s="3">
        <f>'Data (ignore)'!B107</f>
        <v>46.95</v>
      </c>
      <c r="L32" s="15">
        <v>-1000</v>
      </c>
      <c r="M32" s="10">
        <f t="shared" si="4"/>
        <v>4104.7503045066987</v>
      </c>
      <c r="N32" s="3">
        <f t="shared" ca="1" si="5"/>
        <v>13.627397260273973</v>
      </c>
      <c r="O32" s="12">
        <f t="shared" si="0"/>
        <v>3.1047503045066986</v>
      </c>
      <c r="P32" s="12">
        <f t="shared" ca="1" si="3"/>
        <v>0.10918491076295256</v>
      </c>
      <c r="Q32" s="9" t="s">
        <v>243</v>
      </c>
    </row>
    <row r="33" spans="1:18" x14ac:dyDescent="0.25">
      <c r="A33" t="s">
        <v>43</v>
      </c>
      <c r="B33" t="s">
        <v>44</v>
      </c>
      <c r="C33" t="s">
        <v>10</v>
      </c>
      <c r="D33" s="2">
        <v>36649</v>
      </c>
      <c r="E33" s="13">
        <f t="shared" ca="1" si="1"/>
        <v>41626.40684931507</v>
      </c>
      <c r="F33" s="3">
        <v>10.91</v>
      </c>
      <c r="G33" s="3">
        <f t="shared" si="2"/>
        <v>91.659028414298803</v>
      </c>
      <c r="H33" s="3">
        <v>1</v>
      </c>
      <c r="I33" s="3">
        <f>G33*(0.18+0.19+0.31+0.12+0.19+0.21+0.29+0.11+0.17+0.2+0.28+0.12+0.17+0.22+0.27+0.13+0.2+0.2+0.42+0.2+0.21+0.22+0.535+0.13+0.22+0.22+0.49+0.15+0.29+0.24+0.33+0.16+0.26+0.25+0.31+0.15+0.16+0.13+0.19+0.118+0.148+0.148+0.189+0.13+0.158+0.159+0.207+0.159+0.165+0.167+0.256+0.17+0.201+0.197)</f>
        <v>1044.6379468377636</v>
      </c>
      <c r="J33" s="3">
        <v>0</v>
      </c>
      <c r="K33" s="3">
        <f>'Data (ignore)'!B124</f>
        <v>21.3</v>
      </c>
      <c r="L33" s="15">
        <v>-1000</v>
      </c>
      <c r="M33" s="10">
        <f t="shared" si="4"/>
        <v>2996.9752520623279</v>
      </c>
      <c r="N33" s="3">
        <f t="shared" ca="1" si="5"/>
        <v>13.627397260273973</v>
      </c>
      <c r="O33" s="12">
        <f t="shared" si="0"/>
        <v>1.9969752520623278</v>
      </c>
      <c r="P33" s="12">
        <f t="shared" ca="1" si="3"/>
        <v>8.3876412544827694E-2</v>
      </c>
      <c r="Q33" s="9" t="s">
        <v>243</v>
      </c>
    </row>
    <row r="34" spans="1:18" x14ac:dyDescent="0.25">
      <c r="A34" t="s">
        <v>29</v>
      </c>
      <c r="B34" t="s">
        <v>30</v>
      </c>
      <c r="C34" t="s">
        <v>10</v>
      </c>
      <c r="D34" s="2">
        <v>36731</v>
      </c>
      <c r="E34" s="13">
        <f t="shared" si="1"/>
        <v>37096.25</v>
      </c>
      <c r="F34" s="3">
        <v>4.25</v>
      </c>
      <c r="G34" s="3">
        <f t="shared" si="2"/>
        <v>235.29411764705881</v>
      </c>
      <c r="H34" s="3">
        <v>1</v>
      </c>
      <c r="I34" s="3">
        <f>5*G34</f>
        <v>1176.4705882352941</v>
      </c>
      <c r="J34" s="3">
        <v>0</v>
      </c>
      <c r="K34" s="3">
        <v>0</v>
      </c>
      <c r="L34" s="15">
        <v>-1000</v>
      </c>
      <c r="M34" s="10">
        <f t="shared" si="4"/>
        <v>1176.4705882352941</v>
      </c>
      <c r="N34" s="3">
        <v>1</v>
      </c>
      <c r="O34" s="12">
        <f t="shared" si="0"/>
        <v>0.17647058823529416</v>
      </c>
      <c r="P34" s="12">
        <f t="shared" si="3"/>
        <v>0.17647058823529416</v>
      </c>
      <c r="Q34" s="9" t="s">
        <v>245</v>
      </c>
    </row>
    <row r="35" spans="1:18" x14ac:dyDescent="0.25">
      <c r="A35" t="s">
        <v>45</v>
      </c>
      <c r="B35" t="s">
        <v>46</v>
      </c>
      <c r="C35" t="s">
        <v>10</v>
      </c>
      <c r="D35" s="2">
        <v>36760</v>
      </c>
      <c r="E35" s="13">
        <f t="shared" ca="1" si="1"/>
        <v>41626.330821917807</v>
      </c>
      <c r="F35" s="3">
        <v>71</v>
      </c>
      <c r="G35" s="3">
        <f t="shared" si="2"/>
        <v>14.084507042253522</v>
      </c>
      <c r="H35" s="3">
        <v>2</v>
      </c>
      <c r="I35" s="3">
        <f>G35*2*(0.08+0.16+0.08+3.08+0.08+0.08+0.08+0.08+0.09+0.09+0.09+0.1+0.1+0.1+0.1+0.11+0.11+0.11+0.11+0.13+0.13+0.13+0.13+0.13+0.13+0.13+0.13+0.16+0.16+0.16+0.16+0.2+0.2+0.2+0.2+0.23+0.23+0.23+0.23)</f>
        <v>231.83098591549305</v>
      </c>
      <c r="J35" s="3">
        <v>0</v>
      </c>
      <c r="K35" s="3">
        <f>'Data (ignore)'!B132</f>
        <v>37.22</v>
      </c>
      <c r="L35" s="15">
        <v>-1000</v>
      </c>
      <c r="M35" s="10">
        <f t="shared" ref="M35:M40" si="6">G35*H35*K35+(I35)+(J35)</f>
        <v>1280.2816901408453</v>
      </c>
      <c r="N35" s="3">
        <f ca="1">($Z$17-D35)/365</f>
        <v>13.323287671232876</v>
      </c>
      <c r="O35" s="12">
        <f>(M35-1000)/1000</f>
        <v>0.28028169014084531</v>
      </c>
      <c r="P35" s="12">
        <f t="shared" ref="P35:P45" ca="1" si="7">(M35/1000)^(1/N35)-1</f>
        <v>1.8718007661150615E-2</v>
      </c>
      <c r="Q35" s="9" t="s">
        <v>246</v>
      </c>
    </row>
    <row r="36" spans="1:18" x14ac:dyDescent="0.25">
      <c r="A36" t="s">
        <v>47</v>
      </c>
      <c r="B36" t="s">
        <v>48</v>
      </c>
      <c r="C36" t="s">
        <v>10</v>
      </c>
      <c r="D36" s="2">
        <v>36760</v>
      </c>
      <c r="E36" s="13">
        <f t="shared" ca="1" si="1"/>
        <v>41626.330821917807</v>
      </c>
      <c r="F36" s="3">
        <v>25</v>
      </c>
      <c r="G36" s="3">
        <f t="shared" si="2"/>
        <v>40</v>
      </c>
      <c r="H36" s="3">
        <v>1</v>
      </c>
      <c r="I36" s="3">
        <f>G36*((31*0.06)+(8*0.12)+0.18+0.18+0.18+0.18+0.2*9+0.24)</f>
        <v>223.20000000000005</v>
      </c>
      <c r="J36" s="3">
        <v>0</v>
      </c>
      <c r="K36" s="3">
        <f>'Data (ignore)'!B148</f>
        <v>156.75</v>
      </c>
      <c r="L36" s="15">
        <v>-1000</v>
      </c>
      <c r="M36" s="10">
        <f t="shared" si="6"/>
        <v>6493.2</v>
      </c>
      <c r="N36" s="3">
        <f ca="1">($Z$17-D36)/365</f>
        <v>13.323287671232876</v>
      </c>
      <c r="O36" s="12">
        <f>(M36-1000)/1000</f>
        <v>5.4931999999999999</v>
      </c>
      <c r="P36" s="12">
        <f t="shared" ca="1" si="7"/>
        <v>0.15074832813014338</v>
      </c>
      <c r="Q36" s="9" t="s">
        <v>246</v>
      </c>
    </row>
    <row r="37" spans="1:18" x14ac:dyDescent="0.25">
      <c r="A37" t="s">
        <v>49</v>
      </c>
      <c r="B37" t="s">
        <v>50</v>
      </c>
      <c r="C37" t="s">
        <v>10</v>
      </c>
      <c r="D37" s="2">
        <v>36760</v>
      </c>
      <c r="E37" s="13">
        <f t="shared" si="1"/>
        <v>39004.536301369866</v>
      </c>
      <c r="F37" s="3">
        <v>6.5</v>
      </c>
      <c r="G37" s="3">
        <f t="shared" si="2"/>
        <v>153.84615384615384</v>
      </c>
      <c r="H37" s="3">
        <v>1</v>
      </c>
      <c r="I37" s="3">
        <v>0</v>
      </c>
      <c r="J37" s="3">
        <v>0</v>
      </c>
      <c r="K37" s="3">
        <v>13.1</v>
      </c>
      <c r="L37" s="15">
        <v>-1000</v>
      </c>
      <c r="M37" s="10">
        <f t="shared" si="6"/>
        <v>2015.3846153846152</v>
      </c>
      <c r="N37" s="3">
        <f>(DATE(2006,10,13)-D37)/365</f>
        <v>6.1452054794520548</v>
      </c>
      <c r="O37" s="12">
        <f>(M37-1000)/1000</f>
        <v>1.0153846153846153</v>
      </c>
      <c r="P37" s="12">
        <f t="shared" si="7"/>
        <v>0.12079892935784131</v>
      </c>
      <c r="Q37" s="9" t="s">
        <v>246</v>
      </c>
      <c r="R37" t="s">
        <v>131</v>
      </c>
    </row>
    <row r="38" spans="1:18" x14ac:dyDescent="0.25">
      <c r="A38" t="s">
        <v>51</v>
      </c>
      <c r="B38" t="s">
        <v>52</v>
      </c>
      <c r="C38" t="s">
        <v>10</v>
      </c>
      <c r="D38" s="2">
        <v>36760</v>
      </c>
      <c r="E38" s="13">
        <f t="shared" si="1"/>
        <v>38996.530821917811</v>
      </c>
      <c r="F38" s="3">
        <v>1.56</v>
      </c>
      <c r="G38" s="3">
        <f t="shared" si="2"/>
        <v>641.02564102564099</v>
      </c>
      <c r="H38" s="3">
        <v>0.1</v>
      </c>
      <c r="I38" s="3">
        <v>0</v>
      </c>
      <c r="J38" s="3">
        <v>0</v>
      </c>
      <c r="K38" s="3">
        <v>20</v>
      </c>
      <c r="L38" s="15">
        <v>-1000</v>
      </c>
      <c r="M38" s="10">
        <f t="shared" si="6"/>
        <v>1282.051282051282</v>
      </c>
      <c r="N38" s="3">
        <f>(DATE(2006,10,5)-D38)/365</f>
        <v>6.1232876712328768</v>
      </c>
      <c r="O38" s="12">
        <f>(M38-1000)/1000</f>
        <v>0.28205128205128199</v>
      </c>
      <c r="P38" s="12">
        <f t="shared" si="7"/>
        <v>4.1410936686540056E-2</v>
      </c>
      <c r="Q38" s="9" t="s">
        <v>246</v>
      </c>
      <c r="R38" t="s">
        <v>247</v>
      </c>
    </row>
    <row r="39" spans="1:18" x14ac:dyDescent="0.25">
      <c r="A39" t="s">
        <v>29</v>
      </c>
      <c r="B39" t="s">
        <v>30</v>
      </c>
      <c r="C39" t="s">
        <v>10</v>
      </c>
      <c r="D39" s="2">
        <v>36760</v>
      </c>
      <c r="E39" s="13">
        <f t="shared" si="1"/>
        <v>37663.618493150687</v>
      </c>
      <c r="F39" s="3">
        <v>4.5</v>
      </c>
      <c r="G39" s="3">
        <f t="shared" si="2"/>
        <v>222.22222222222223</v>
      </c>
      <c r="H39" s="3">
        <v>1</v>
      </c>
      <c r="I39" s="3">
        <f>5*G39</f>
        <v>1111.1111111111111</v>
      </c>
      <c r="J39" s="3">
        <v>0</v>
      </c>
      <c r="K39" s="3">
        <v>0</v>
      </c>
      <c r="L39" s="15">
        <v>-1000</v>
      </c>
      <c r="M39" s="10">
        <f t="shared" si="6"/>
        <v>1111.1111111111111</v>
      </c>
      <c r="N39" s="3">
        <f>(DATE(2003,2,11)-D39)/365</f>
        <v>2.473972602739726</v>
      </c>
      <c r="O39" s="12">
        <f>(M39-1000)/1000</f>
        <v>0.11111111111111109</v>
      </c>
      <c r="P39" s="12">
        <f t="shared" si="7"/>
        <v>4.3507446769482261E-2</v>
      </c>
      <c r="Q39" s="9" t="s">
        <v>246</v>
      </c>
    </row>
    <row r="40" spans="1:18" x14ac:dyDescent="0.25">
      <c r="A40" t="s">
        <v>27</v>
      </c>
      <c r="B40" t="s">
        <v>28</v>
      </c>
      <c r="C40" t="s">
        <v>10</v>
      </c>
      <c r="D40" s="2">
        <v>36760</v>
      </c>
      <c r="E40" s="13">
        <f t="shared" ca="1" si="1"/>
        <v>41626.330821917807</v>
      </c>
      <c r="F40" s="3">
        <v>3.5</v>
      </c>
      <c r="G40" s="3">
        <f t="shared" si="2"/>
        <v>285.71428571428572</v>
      </c>
      <c r="H40" s="3">
        <v>1</v>
      </c>
      <c r="I40" s="3">
        <v>0</v>
      </c>
      <c r="J40" s="3">
        <v>0</v>
      </c>
      <c r="K40" s="3">
        <f>'Data (ignore)'!B1172</f>
        <v>16.8</v>
      </c>
      <c r="L40" s="15">
        <v>-1000</v>
      </c>
      <c r="M40" s="10">
        <f t="shared" si="6"/>
        <v>4800</v>
      </c>
      <c r="N40" s="3">
        <f ca="1">($Z$17-D40)/365</f>
        <v>13.323287671232876</v>
      </c>
      <c r="O40" s="12">
        <f t="shared" ref="O40:O45" si="8">(M40-1000)/1000</f>
        <v>3.8</v>
      </c>
      <c r="P40" s="12">
        <f t="shared" ca="1" si="7"/>
        <v>0.1249458466862523</v>
      </c>
      <c r="Q40" s="9" t="s">
        <v>246</v>
      </c>
    </row>
    <row r="41" spans="1:18" x14ac:dyDescent="0.25">
      <c r="A41" t="s">
        <v>53</v>
      </c>
      <c r="B41" t="s">
        <v>54</v>
      </c>
      <c r="C41" t="s">
        <v>10</v>
      </c>
      <c r="D41" s="2">
        <v>36798</v>
      </c>
      <c r="E41" s="13">
        <f t="shared" ca="1" si="1"/>
        <v>41626.304794520547</v>
      </c>
      <c r="F41" s="3">
        <v>29.94</v>
      </c>
      <c r="G41" s="3">
        <f t="shared" si="2"/>
        <v>33.400133600534403</v>
      </c>
      <c r="H41" s="3">
        <v>1</v>
      </c>
      <c r="I41" s="3">
        <f>G41*(2+0.92+0.92+1.17)+17*(1.67+2.12+3.8+4.25+5.55+8.15+8.25+6+6.5)</f>
        <v>954.26466933867732</v>
      </c>
      <c r="J41" s="3">
        <v>0</v>
      </c>
      <c r="K41" s="3">
        <f>'Data (ignore)'!B164</f>
        <v>76.95</v>
      </c>
      <c r="L41" s="15">
        <v>-1000</v>
      </c>
      <c r="M41" s="10">
        <f>(G41/2)*45.05*H41+(G41/2)*K41+(I41)+(J41)</f>
        <v>2991.6728189712758</v>
      </c>
      <c r="N41" s="3">
        <f ca="1">($Z$17-D41)/365</f>
        <v>13.219178082191782</v>
      </c>
      <c r="O41" s="12">
        <f t="shared" si="8"/>
        <v>1.9916728189712758</v>
      </c>
      <c r="P41" s="12">
        <f t="shared" ca="1" si="7"/>
        <v>8.6430105699285553E-2</v>
      </c>
      <c r="Q41" s="9" t="s">
        <v>248</v>
      </c>
      <c r="R41" t="s">
        <v>110</v>
      </c>
    </row>
    <row r="42" spans="1:18" x14ac:dyDescent="0.25">
      <c r="A42" t="s">
        <v>55</v>
      </c>
      <c r="B42" t="s">
        <v>56</v>
      </c>
      <c r="C42" t="s">
        <v>26</v>
      </c>
      <c r="D42" s="2">
        <v>36811</v>
      </c>
      <c r="E42" s="13">
        <f t="shared" si="1"/>
        <v>37226.284246575342</v>
      </c>
      <c r="F42" s="3">
        <v>199.61</v>
      </c>
      <c r="G42" s="3">
        <f t="shared" si="2"/>
        <v>5.0097690496468106</v>
      </c>
      <c r="H42" s="3">
        <v>1</v>
      </c>
      <c r="I42" s="3">
        <v>0</v>
      </c>
      <c r="J42" s="3">
        <v>0</v>
      </c>
      <c r="K42" s="3">
        <v>20</v>
      </c>
      <c r="L42" s="15">
        <v>-1000</v>
      </c>
      <c r="M42" s="10">
        <f>(G42*F42)-(G42*H42*K42)+1000</f>
        <v>1899.8046190070636</v>
      </c>
      <c r="N42" s="3">
        <f>(DATE(2001,12,1)-D42)/365</f>
        <v>1.1369863013698631</v>
      </c>
      <c r="O42" s="12">
        <f t="shared" si="8"/>
        <v>0.89980461900706354</v>
      </c>
      <c r="P42" s="12">
        <f t="shared" si="7"/>
        <v>0.75844807645298262</v>
      </c>
      <c r="Q42" s="9" t="s">
        <v>249</v>
      </c>
      <c r="R42" t="s">
        <v>256</v>
      </c>
    </row>
    <row r="43" spans="1:18" x14ac:dyDescent="0.25">
      <c r="A43" t="s">
        <v>57</v>
      </c>
      <c r="B43" t="s">
        <v>58</v>
      </c>
      <c r="C43" t="s">
        <v>10</v>
      </c>
      <c r="D43" s="2">
        <v>36868</v>
      </c>
      <c r="E43" s="13">
        <f t="shared" ca="1" si="1"/>
        <v>41626.256849315068</v>
      </c>
      <c r="F43" s="3">
        <v>10</v>
      </c>
      <c r="G43" s="3">
        <f t="shared" si="2"/>
        <v>100</v>
      </c>
      <c r="H43" s="3">
        <v>1</v>
      </c>
      <c r="I43" s="3">
        <f>G43*((0.12*29)+0.044+0.18+0.135*5)</f>
        <v>437.90000000000003</v>
      </c>
      <c r="J43" s="3">
        <v>0</v>
      </c>
      <c r="K43" s="3">
        <f>'Data (ignore)'!B180</f>
        <v>13.88</v>
      </c>
      <c r="L43" s="15">
        <v>-1000</v>
      </c>
      <c r="M43" s="10">
        <f>G43*H43*K43+(I43)+(J43)</f>
        <v>1825.9</v>
      </c>
      <c r="N43" s="3">
        <f ca="1">($Z$17-D43)/365</f>
        <v>13.027397260273972</v>
      </c>
      <c r="O43" s="12">
        <f t="shared" si="8"/>
        <v>0.82590000000000008</v>
      </c>
      <c r="P43" s="12">
        <f t="shared" ca="1" si="7"/>
        <v>4.7300508946966024E-2</v>
      </c>
      <c r="Q43" s="9" t="s">
        <v>250</v>
      </c>
    </row>
    <row r="44" spans="1:18" x14ac:dyDescent="0.25">
      <c r="A44" t="s">
        <v>60</v>
      </c>
      <c r="B44" t="s">
        <v>59</v>
      </c>
      <c r="C44" t="s">
        <v>10</v>
      </c>
      <c r="D44" s="2">
        <v>36894</v>
      </c>
      <c r="E44" s="13">
        <f t="shared" si="1"/>
        <v>37258.24931506849</v>
      </c>
      <c r="F44" s="3">
        <v>12</v>
      </c>
      <c r="G44" s="3">
        <f t="shared" si="2"/>
        <v>83.333333333333329</v>
      </c>
      <c r="H44" s="3">
        <v>1</v>
      </c>
      <c r="I44" s="3">
        <f>G44*2.34</f>
        <v>194.99999999999997</v>
      </c>
      <c r="J44" s="3">
        <v>0</v>
      </c>
      <c r="K44" s="3">
        <v>24.35</v>
      </c>
      <c r="L44" s="15">
        <v>-1000</v>
      </c>
      <c r="M44" s="10">
        <f>G44*H44*K44+(I44)+(J44)</f>
        <v>2224.1666666666665</v>
      </c>
      <c r="N44" s="3">
        <f>(DATE(2002,1,2)-D44)/365</f>
        <v>0.99726027397260275</v>
      </c>
      <c r="O44" s="12">
        <f t="shared" si="8"/>
        <v>1.2241666666666666</v>
      </c>
      <c r="P44" s="12">
        <f t="shared" si="7"/>
        <v>1.2290565381472307</v>
      </c>
      <c r="Q44" s="9" t="s">
        <v>258</v>
      </c>
      <c r="R44" t="s">
        <v>257</v>
      </c>
    </row>
    <row r="45" spans="1:18" x14ac:dyDescent="0.25">
      <c r="A45" t="s">
        <v>29</v>
      </c>
      <c r="B45" t="s">
        <v>30</v>
      </c>
      <c r="C45" t="s">
        <v>10</v>
      </c>
      <c r="D45" s="2">
        <v>37046</v>
      </c>
      <c r="E45" s="13">
        <f t="shared" si="1"/>
        <v>37663.422602739724</v>
      </c>
      <c r="F45" s="3">
        <v>5.94</v>
      </c>
      <c r="G45" s="3">
        <f t="shared" si="2"/>
        <v>168.35016835016833</v>
      </c>
      <c r="H45" s="3">
        <v>1</v>
      </c>
      <c r="I45" s="3">
        <f>5*G45</f>
        <v>841.75084175084169</v>
      </c>
      <c r="J45" s="3">
        <v>0</v>
      </c>
      <c r="K45" s="3">
        <v>0</v>
      </c>
      <c r="L45" s="15">
        <v>-1000</v>
      </c>
      <c r="M45" s="10">
        <f>G45*H45*K45+(I45)+(J45)</f>
        <v>841.75084175084169</v>
      </c>
      <c r="N45" s="3">
        <f>(DATE(2003,2,11)-D45)/365</f>
        <v>1.6904109589041096</v>
      </c>
      <c r="O45" s="12">
        <f t="shared" si="8"/>
        <v>-0.15824915824915831</v>
      </c>
      <c r="P45" s="12">
        <f t="shared" si="7"/>
        <v>-9.6889941404567637E-2</v>
      </c>
      <c r="Q45" s="9" t="s">
        <v>439</v>
      </c>
    </row>
    <row r="46" spans="1:18" x14ac:dyDescent="0.25">
      <c r="A46" t="s">
        <v>61</v>
      </c>
      <c r="B46" t="s">
        <v>62</v>
      </c>
      <c r="C46" t="s">
        <v>10</v>
      </c>
      <c r="D46" s="2">
        <v>37152</v>
      </c>
      <c r="E46" s="13">
        <f t="shared" si="1"/>
        <v>37329.121232876714</v>
      </c>
      <c r="F46" s="3">
        <v>36</v>
      </c>
      <c r="G46" s="3">
        <f t="shared" si="2"/>
        <v>27.777777777777779</v>
      </c>
      <c r="H46" s="3">
        <v>1</v>
      </c>
      <c r="I46" s="3">
        <f>G46*(0.17+0.17)</f>
        <v>9.4444444444444446</v>
      </c>
      <c r="J46" s="3">
        <v>0</v>
      </c>
      <c r="K46" s="3">
        <v>49</v>
      </c>
      <c r="L46" s="15">
        <v>-1000</v>
      </c>
      <c r="M46" s="10">
        <f t="shared" ref="M46:M55" si="9">G46*H46*K46+(I46)+(J46)</f>
        <v>1370.5555555555554</v>
      </c>
      <c r="N46" s="3">
        <f>(DATE(2002,3,14)-D46)/365</f>
        <v>0.48493150684931507</v>
      </c>
      <c r="O46" s="12">
        <f t="shared" ref="O46:O51" si="10">(M46-1000)/1000</f>
        <v>0.37055555555555542</v>
      </c>
      <c r="P46" s="12">
        <f t="shared" ref="P46:P51" si="11">(M46/1000)^(1/N46)-1</f>
        <v>0.91558306894555952</v>
      </c>
      <c r="Q46" s="9" t="s">
        <v>260</v>
      </c>
      <c r="R46" s="3" t="s">
        <v>259</v>
      </c>
    </row>
    <row r="47" spans="1:18" x14ac:dyDescent="0.25">
      <c r="A47" t="s">
        <v>63</v>
      </c>
      <c r="B47" t="s">
        <v>64</v>
      </c>
      <c r="C47" t="s">
        <v>10</v>
      </c>
      <c r="D47" s="2">
        <v>37152</v>
      </c>
      <c r="E47" s="13">
        <f t="shared" si="1"/>
        <v>37329.121232876714</v>
      </c>
      <c r="F47" s="3">
        <v>18</v>
      </c>
      <c r="G47" s="3">
        <f t="shared" si="2"/>
        <v>55.555555555555557</v>
      </c>
      <c r="H47" s="3">
        <v>1</v>
      </c>
      <c r="I47" s="3">
        <v>0</v>
      </c>
      <c r="J47" s="3">
        <v>0</v>
      </c>
      <c r="K47" s="3">
        <v>27.5</v>
      </c>
      <c r="L47" s="15">
        <v>-1000</v>
      </c>
      <c r="M47" s="10">
        <f t="shared" si="9"/>
        <v>1527.7777777777778</v>
      </c>
      <c r="N47" s="3">
        <f>(DATE(2002,3,14)-D47)/365</f>
        <v>0.48493150684931507</v>
      </c>
      <c r="O47" s="12">
        <f t="shared" si="10"/>
        <v>0.52777777777777779</v>
      </c>
      <c r="P47" s="12">
        <f t="shared" si="11"/>
        <v>1.3963990913459572</v>
      </c>
      <c r="Q47" s="9" t="s">
        <v>260</v>
      </c>
      <c r="R47" s="3" t="s">
        <v>259</v>
      </c>
    </row>
    <row r="48" spans="1:18" x14ac:dyDescent="0.25">
      <c r="A48" t="s">
        <v>66</v>
      </c>
      <c r="B48" t="s">
        <v>65</v>
      </c>
      <c r="C48" t="s">
        <v>10</v>
      </c>
      <c r="D48" s="2">
        <v>37152</v>
      </c>
      <c r="E48" s="13">
        <f t="shared" si="1"/>
        <v>37329.121232876714</v>
      </c>
      <c r="F48" s="3">
        <v>18</v>
      </c>
      <c r="G48" s="3">
        <f t="shared" si="2"/>
        <v>55.555555555555557</v>
      </c>
      <c r="H48" s="3">
        <v>1</v>
      </c>
      <c r="I48" s="3">
        <v>0</v>
      </c>
      <c r="J48" s="3">
        <v>0</v>
      </c>
      <c r="K48" s="3">
        <v>16.5</v>
      </c>
      <c r="L48" s="15">
        <v>-1000</v>
      </c>
      <c r="M48" s="10">
        <f t="shared" si="9"/>
        <v>916.66666666666674</v>
      </c>
      <c r="N48" s="3">
        <f>(DATE(2002,3,14)-D48)/365</f>
        <v>0.48493150684931507</v>
      </c>
      <c r="O48" s="12">
        <f t="shared" si="10"/>
        <v>-8.3333333333333259E-2</v>
      </c>
      <c r="P48" s="12">
        <f t="shared" si="11"/>
        <v>-0.1642537500042609</v>
      </c>
      <c r="Q48" s="9" t="s">
        <v>260</v>
      </c>
      <c r="R48" s="3" t="s">
        <v>259</v>
      </c>
    </row>
    <row r="49" spans="1:18" x14ac:dyDescent="0.25">
      <c r="A49" t="s">
        <v>67</v>
      </c>
      <c r="B49" t="s">
        <v>68</v>
      </c>
      <c r="C49" t="s">
        <v>10</v>
      </c>
      <c r="D49" s="2">
        <v>37152</v>
      </c>
      <c r="E49" s="13">
        <f t="shared" ca="1" si="1"/>
        <v>41626.062328767126</v>
      </c>
      <c r="F49" s="3">
        <v>74</v>
      </c>
      <c r="G49" s="3">
        <f t="shared" si="2"/>
        <v>13.513513513513514</v>
      </c>
      <c r="H49" s="3">
        <v>4</v>
      </c>
      <c r="I49" s="3">
        <f>G49*H49*(0.05+0.066+0.068+0.081+0.087+0.105+0.134+0.169+0.159+0.255+0.145+0.14+0.165+0.197+0.124)</f>
        <v>105.13513513513516</v>
      </c>
      <c r="J49" s="3">
        <v>0</v>
      </c>
      <c r="K49" s="3">
        <f>'Data (ignore)'!B196</f>
        <v>40.590000000000003</v>
      </c>
      <c r="L49" s="15">
        <v>-1000</v>
      </c>
      <c r="M49" s="10">
        <f t="shared" si="9"/>
        <v>2299.1891891891892</v>
      </c>
      <c r="N49" s="3">
        <f ca="1">($Z$17-D49)/365</f>
        <v>12.24931506849315</v>
      </c>
      <c r="O49" s="12">
        <f t="shared" si="10"/>
        <v>1.2991891891891891</v>
      </c>
      <c r="P49" s="12">
        <f t="shared" ca="1" si="11"/>
        <v>7.0330628111849647E-2</v>
      </c>
      <c r="Q49" s="9" t="s">
        <v>260</v>
      </c>
    </row>
    <row r="50" spans="1:18" x14ac:dyDescent="0.25">
      <c r="A50" t="s">
        <v>55</v>
      </c>
      <c r="B50" t="s">
        <v>56</v>
      </c>
      <c r="C50" t="s">
        <v>10</v>
      </c>
      <c r="D50" s="2">
        <v>37152</v>
      </c>
      <c r="E50" s="13">
        <f t="shared" ca="1" si="1"/>
        <v>41626.062328767126</v>
      </c>
      <c r="F50" s="3">
        <v>12</v>
      </c>
      <c r="G50" s="3">
        <f t="shared" si="2"/>
        <v>83.333333333333329</v>
      </c>
      <c r="H50" s="3">
        <v>1</v>
      </c>
      <c r="I50" s="3">
        <v>0</v>
      </c>
      <c r="J50" s="3">
        <v>0</v>
      </c>
      <c r="K50" s="3">
        <f>'Data (ignore)'!B212</f>
        <v>20.64</v>
      </c>
      <c r="L50" s="15">
        <v>-1000</v>
      </c>
      <c r="M50" s="10">
        <f t="shared" si="9"/>
        <v>1720</v>
      </c>
      <c r="N50" s="3">
        <f ca="1">($Z$17-D50)/365</f>
        <v>12.24931506849315</v>
      </c>
      <c r="O50" s="12">
        <f t="shared" si="10"/>
        <v>0.72</v>
      </c>
      <c r="P50" s="12">
        <f t="shared" ca="1" si="11"/>
        <v>4.5268558472648657E-2</v>
      </c>
      <c r="Q50" s="9" t="s">
        <v>260</v>
      </c>
    </row>
    <row r="51" spans="1:18" x14ac:dyDescent="0.25">
      <c r="A51" t="s">
        <v>49</v>
      </c>
      <c r="B51" t="s">
        <v>50</v>
      </c>
      <c r="C51" t="s">
        <v>10</v>
      </c>
      <c r="D51" s="2">
        <v>37154</v>
      </c>
      <c r="E51" s="13">
        <f t="shared" si="1"/>
        <v>39004.266438356164</v>
      </c>
      <c r="F51" s="3">
        <v>5.25</v>
      </c>
      <c r="G51" s="3">
        <f t="shared" si="2"/>
        <v>190.47619047619048</v>
      </c>
      <c r="H51" s="3">
        <v>1</v>
      </c>
      <c r="I51" s="3">
        <v>0</v>
      </c>
      <c r="J51" s="3">
        <v>0</v>
      </c>
      <c r="K51" s="3">
        <v>13.1</v>
      </c>
      <c r="L51" s="15">
        <v>-1000</v>
      </c>
      <c r="M51" s="10">
        <f t="shared" si="9"/>
        <v>2495.2380952380954</v>
      </c>
      <c r="N51" s="3">
        <f>(DATE(2006,10,13)-D51)/365</f>
        <v>5.065753424657534</v>
      </c>
      <c r="O51" s="12">
        <f t="shared" si="10"/>
        <v>1.4952380952380955</v>
      </c>
      <c r="P51" s="12">
        <f t="shared" si="11"/>
        <v>0.19781982445818058</v>
      </c>
      <c r="Q51" s="9" t="s">
        <v>396</v>
      </c>
      <c r="R51" t="s">
        <v>131</v>
      </c>
    </row>
    <row r="52" spans="1:18" x14ac:dyDescent="0.25">
      <c r="A52" t="s">
        <v>51</v>
      </c>
      <c r="B52" t="s">
        <v>52</v>
      </c>
      <c r="C52" t="s">
        <v>10</v>
      </c>
      <c r="D52" s="2">
        <v>37166</v>
      </c>
      <c r="E52" s="13">
        <f t="shared" si="1"/>
        <v>38632.003424657538</v>
      </c>
      <c r="F52" s="3">
        <v>0.38</v>
      </c>
      <c r="G52" s="3">
        <f t="shared" si="2"/>
        <v>2631.5789473684208</v>
      </c>
      <c r="H52" s="3">
        <v>0.1</v>
      </c>
      <c r="I52" s="3">
        <v>0</v>
      </c>
      <c r="J52" s="3">
        <v>0</v>
      </c>
      <c r="K52" s="3">
        <v>20</v>
      </c>
      <c r="L52" s="15">
        <v>-1000</v>
      </c>
      <c r="M52" s="10">
        <f t="shared" si="9"/>
        <v>5263.1578947368416</v>
      </c>
      <c r="N52" s="3">
        <f>(DATE(2005,10,6)-D52)/365</f>
        <v>4.0136986301369859</v>
      </c>
      <c r="O52" s="12">
        <f>(M52-1000)/1000</f>
        <v>4.2631578947368416</v>
      </c>
      <c r="P52" s="12">
        <f>(M52/1000)^(1/N52)-1</f>
        <v>0.51250285051068545</v>
      </c>
      <c r="Q52" s="9" t="s">
        <v>422</v>
      </c>
      <c r="R52" t="s">
        <v>247</v>
      </c>
    </row>
    <row r="53" spans="1:18" x14ac:dyDescent="0.25">
      <c r="A53" t="s">
        <v>69</v>
      </c>
      <c r="B53" t="s">
        <v>70</v>
      </c>
      <c r="C53" t="s">
        <v>10</v>
      </c>
      <c r="D53" s="2">
        <v>37368</v>
      </c>
      <c r="E53" s="13">
        <f t="shared" ca="1" si="1"/>
        <v>41625.914383561641</v>
      </c>
      <c r="F53" s="3">
        <v>14.05</v>
      </c>
      <c r="G53" s="3">
        <f t="shared" si="2"/>
        <v>71.17437722419929</v>
      </c>
      <c r="H53" s="3">
        <v>1</v>
      </c>
      <c r="I53" s="3">
        <v>0</v>
      </c>
      <c r="J53" s="3">
        <v>0</v>
      </c>
      <c r="K53" s="3">
        <f>'Data (ignore)'!B228</f>
        <v>49.61</v>
      </c>
      <c r="L53" s="15">
        <v>-1000</v>
      </c>
      <c r="M53" s="10">
        <f t="shared" si="9"/>
        <v>3530.9608540925269</v>
      </c>
      <c r="N53" s="3">
        <f ca="1">($Z$17-D53)/365</f>
        <v>11.657534246575343</v>
      </c>
      <c r="O53" s="12">
        <f t="shared" ref="O53:O59" si="12">(M53-1000)/1000</f>
        <v>2.5309608540925268</v>
      </c>
      <c r="P53" s="12">
        <f t="shared" ref="P53:P59" ca="1" si="13">(M53/1000)^(1/N53)-1</f>
        <v>0.11429206704189099</v>
      </c>
      <c r="Q53" s="9" t="s">
        <v>261</v>
      </c>
    </row>
    <row r="54" spans="1:18" x14ac:dyDescent="0.25">
      <c r="A54" t="s">
        <v>71</v>
      </c>
      <c r="B54" t="s">
        <v>72</v>
      </c>
      <c r="C54" t="s">
        <v>10</v>
      </c>
      <c r="D54" s="2">
        <v>37433</v>
      </c>
      <c r="E54" s="13">
        <f t="shared" si="1"/>
        <v>37561.087671232875</v>
      </c>
      <c r="F54" s="3">
        <v>4.0999999999999996</v>
      </c>
      <c r="G54" s="3">
        <f t="shared" si="2"/>
        <v>243.90243902439028</v>
      </c>
      <c r="H54" s="3">
        <v>1</v>
      </c>
      <c r="I54" s="3">
        <v>0</v>
      </c>
      <c r="J54" s="3">
        <v>0</v>
      </c>
      <c r="K54" s="3">
        <v>6.45</v>
      </c>
      <c r="L54" s="15">
        <v>-1000</v>
      </c>
      <c r="M54" s="10">
        <f t="shared" si="9"/>
        <v>1573.1707317073174</v>
      </c>
      <c r="N54" s="3">
        <f>(DATE(2002,11,1)-D54)/365</f>
        <v>0.35068493150684932</v>
      </c>
      <c r="O54" s="12">
        <f t="shared" si="12"/>
        <v>0.57317073170731736</v>
      </c>
      <c r="P54" s="12">
        <f t="shared" si="13"/>
        <v>2.64014478073778</v>
      </c>
      <c r="Q54" s="9" t="s">
        <v>262</v>
      </c>
      <c r="R54" t="s">
        <v>263</v>
      </c>
    </row>
    <row r="55" spans="1:18" x14ac:dyDescent="0.25">
      <c r="A55" t="s">
        <v>73</v>
      </c>
      <c r="B55" t="s">
        <v>74</v>
      </c>
      <c r="C55" t="s">
        <v>10</v>
      </c>
      <c r="D55" s="2">
        <v>37461</v>
      </c>
      <c r="E55" s="13">
        <f t="shared" ca="1" si="1"/>
        <v>41625.850684931509</v>
      </c>
      <c r="F55" s="3">
        <v>25.9</v>
      </c>
      <c r="G55" s="3">
        <f t="shared" si="2"/>
        <v>38.610038610038615</v>
      </c>
      <c r="H55" s="3">
        <v>0.1</v>
      </c>
      <c r="I55" s="3">
        <f>G55*(0.18+0.18+0.2+0.2+0.35+0.35+0.4+0.4+0.4+0.4+0.44+0.44+0.44+0.44+0.49+0.49+0.49+0.49+0.54+0.54+0.54+0.54+0.32+0.32+0.32+0.16+0.01*12)</f>
        <v>393.05019305019317</v>
      </c>
      <c r="J55" s="3">
        <f>2.5*88.67+(6.5*0.08*2)+(2.5*(0.22+0.22+0.22+0.22+0.23+0.23+0.23+0.23+0.26+0.26+0.26+0.26+0.29+0.29+0.29+0.29+0.3+0.3+0.3+0.3+0.3+0.3+0.33+0.36+0.36+0.36+0.36+0.41+0.41+0.41+0.41+0.46+0.46+0.46+0.46+0.5+0.5))</f>
        <v>252.84</v>
      </c>
      <c r="K55" s="3">
        <f>'Data (ignore)'!B244</f>
        <v>50.91</v>
      </c>
      <c r="L55" s="15">
        <v>-1000</v>
      </c>
      <c r="M55" s="10">
        <f t="shared" si="9"/>
        <v>842.45389961389981</v>
      </c>
      <c r="N55" s="3">
        <f ca="1">($Z$17-D55)/365</f>
        <v>11.402739726027397</v>
      </c>
      <c r="O55" s="12">
        <f t="shared" si="12"/>
        <v>-0.1575461003861002</v>
      </c>
      <c r="P55" s="12">
        <f t="shared" ca="1" si="13"/>
        <v>-1.4922205682394329E-2</v>
      </c>
      <c r="Q55" s="9" t="s">
        <v>264</v>
      </c>
      <c r="R55" t="s">
        <v>397</v>
      </c>
    </row>
    <row r="56" spans="1:18" x14ac:dyDescent="0.25">
      <c r="A56" t="s">
        <v>75</v>
      </c>
      <c r="B56" t="s">
        <v>420</v>
      </c>
      <c r="C56" t="s">
        <v>10</v>
      </c>
      <c r="D56" s="2">
        <v>37461</v>
      </c>
      <c r="E56" s="13">
        <f t="shared" ca="1" si="1"/>
        <v>41625.850684931509</v>
      </c>
      <c r="F56" s="3">
        <v>23.6</v>
      </c>
      <c r="G56" s="3">
        <f t="shared" si="2"/>
        <v>42.372881355932201</v>
      </c>
      <c r="H56" s="3">
        <v>1.81</v>
      </c>
      <c r="I56" s="3">
        <f>G56*H56*(0.335+0.345+0.345+0.363+0.363+0.373*4+0.395+0.4+0.41+0.42+0.43+0.438+0.445+0.453+0.46+0.468+0.475+0.483+0.49+0.5+0.508+0.515+0.523+0.53+0.538+0.545+0.553+0.56+0.568+0.575+0.583+0.59+0.598+0.605+0.613+0.62+0.628+0.635+0.65+0.66+0.67+0.68+0.69)</f>
        <v>1775.2572033898309</v>
      </c>
      <c r="J56" s="3">
        <v>0</v>
      </c>
      <c r="K56" s="3">
        <f>K64</f>
        <v>61.2</v>
      </c>
      <c r="L56" s="15">
        <v>-1000</v>
      </c>
      <c r="M56" s="10">
        <f>K56*H56*G56+I56</f>
        <v>6468.9860169491531</v>
      </c>
      <c r="N56" s="3">
        <f ca="1">($Z$17-D56)/365</f>
        <v>11.402739726027397</v>
      </c>
      <c r="O56" s="12">
        <f t="shared" si="12"/>
        <v>5.4689860169491533</v>
      </c>
      <c r="P56" s="12">
        <f t="shared" ca="1" si="13"/>
        <v>0.1779012812090055</v>
      </c>
      <c r="Q56" s="9" t="s">
        <v>264</v>
      </c>
    </row>
    <row r="57" spans="1:18" x14ac:dyDescent="0.25">
      <c r="A57" t="s">
        <v>76</v>
      </c>
      <c r="B57" t="s">
        <v>77</v>
      </c>
      <c r="C57" t="s">
        <v>10</v>
      </c>
      <c r="D57" s="2">
        <v>37461</v>
      </c>
      <c r="E57" s="13">
        <f t="shared" ca="1" si="1"/>
        <v>41625.850684931509</v>
      </c>
      <c r="F57" s="3">
        <v>43.2</v>
      </c>
      <c r="G57" s="3">
        <f t="shared" si="2"/>
        <v>23.148148148148145</v>
      </c>
      <c r="H57" s="3">
        <v>1</v>
      </c>
      <c r="I57" s="3">
        <f>G57*(0.205+0.205+0.205+0.24+0.24+0.24+0.24+0.285+0.285+0.285+0.285+0.33+0.33+0.33+0.33+0.375+0.375+0.375+0.375+0.415+0.415+0.415+0.415+0.46+0.46+0.46+0.46+0.49+0.49+0.49+0.49+0.54+0.54+0.54+0.54+0.57+0.57+0.57+0.57+0.61+0.61+0.61+0.61+0.66+0.66)</f>
        <v>444.32870370370364</v>
      </c>
      <c r="J57" s="3">
        <v>0</v>
      </c>
      <c r="K57" s="3">
        <f>'Data (ignore)'!B276</f>
        <v>91.16</v>
      </c>
      <c r="L57" s="15">
        <v>-1000</v>
      </c>
      <c r="M57" s="10">
        <f>G57*H57*K57+(I57)+(J57)</f>
        <v>2554.5138888888882</v>
      </c>
      <c r="N57" s="3">
        <f ca="1">($Z$17-D57)/365</f>
        <v>11.402739726027397</v>
      </c>
      <c r="O57" s="12">
        <f t="shared" si="12"/>
        <v>1.5545138888888883</v>
      </c>
      <c r="P57" s="12">
        <f t="shared" ca="1" si="13"/>
        <v>8.5725932219951728E-2</v>
      </c>
      <c r="Q57" s="9" t="s">
        <v>264</v>
      </c>
    </row>
    <row r="58" spans="1:18" x14ac:dyDescent="0.25">
      <c r="A58" t="s">
        <v>78</v>
      </c>
      <c r="B58" t="s">
        <v>79</v>
      </c>
      <c r="C58" t="s">
        <v>10</v>
      </c>
      <c r="D58" s="2">
        <v>37461</v>
      </c>
      <c r="E58" s="13">
        <f t="shared" ca="1" si="1"/>
        <v>41625.850684931509</v>
      </c>
      <c r="F58" s="3">
        <v>39.770000000000003</v>
      </c>
      <c r="G58" s="3">
        <f t="shared" si="2"/>
        <v>25.144581342720642</v>
      </c>
      <c r="H58" s="3">
        <v>1</v>
      </c>
      <c r="I58" s="3">
        <f>G58*(0.36+0.36+0.36+0.36+0.37+0.37+0.37+0.37+(29*0.38)+0.42+0.42+0.42+0.42+0.43*4)</f>
        <v>436.00704048277595</v>
      </c>
      <c r="J58" s="3">
        <f>3*(28.8+(0.81*65.34))</f>
        <v>245.17620000000002</v>
      </c>
      <c r="K58" s="3">
        <f>'Data (ignore)'!B292</f>
        <v>48.32</v>
      </c>
      <c r="L58" s="15">
        <v>-1000</v>
      </c>
      <c r="M58" s="10">
        <f>G58*H58*K58+(I58)+(J58)</f>
        <v>1896.1694109630373</v>
      </c>
      <c r="N58" s="3">
        <f ca="1">($Z$17-D58)/365</f>
        <v>11.402739726027397</v>
      </c>
      <c r="O58" s="12">
        <f t="shared" si="12"/>
        <v>0.89616941096303726</v>
      </c>
      <c r="P58" s="12">
        <f t="shared" ca="1" si="13"/>
        <v>5.7716625527114873E-2</v>
      </c>
      <c r="Q58" s="9" t="s">
        <v>264</v>
      </c>
      <c r="R58" t="s">
        <v>265</v>
      </c>
    </row>
    <row r="59" spans="1:18" x14ac:dyDescent="0.25">
      <c r="A59" t="s">
        <v>49</v>
      </c>
      <c r="B59" t="s">
        <v>50</v>
      </c>
      <c r="C59" t="s">
        <v>10</v>
      </c>
      <c r="D59" s="2">
        <v>37461</v>
      </c>
      <c r="E59" s="13">
        <f t="shared" si="1"/>
        <v>39009.059589041099</v>
      </c>
      <c r="F59" s="3">
        <v>2.65</v>
      </c>
      <c r="G59" s="3">
        <f t="shared" si="2"/>
        <v>377.35849056603774</v>
      </c>
      <c r="H59" s="3">
        <v>1</v>
      </c>
      <c r="I59" s="3">
        <v>0</v>
      </c>
      <c r="J59" s="3">
        <v>0</v>
      </c>
      <c r="K59" s="3">
        <v>13.1</v>
      </c>
      <c r="L59" s="15">
        <v>-1000</v>
      </c>
      <c r="M59" s="10">
        <f>G59/2*10.64+G59/2*13.1</f>
        <v>4479.2452830188677</v>
      </c>
      <c r="N59" s="3">
        <f>(DATE(2006,10,18)-D59)/365</f>
        <v>4.2383561643835614</v>
      </c>
      <c r="O59" s="12">
        <f t="shared" si="12"/>
        <v>3.4792452830188676</v>
      </c>
      <c r="P59" s="12">
        <f t="shared" si="13"/>
        <v>0.42444477429292138</v>
      </c>
      <c r="Q59" s="9" t="s">
        <v>264</v>
      </c>
      <c r="R59" t="s">
        <v>132</v>
      </c>
    </row>
    <row r="60" spans="1:18" x14ac:dyDescent="0.25">
      <c r="A60" t="s">
        <v>27</v>
      </c>
      <c r="B60" t="s">
        <v>28</v>
      </c>
      <c r="C60" t="s">
        <v>10</v>
      </c>
      <c r="D60" s="2">
        <v>37461</v>
      </c>
      <c r="E60" s="13">
        <f t="shared" ca="1" si="1"/>
        <v>41625.850684931509</v>
      </c>
      <c r="F60" s="3">
        <v>2.75</v>
      </c>
      <c r="G60" s="3">
        <f t="shared" si="2"/>
        <v>363.63636363636363</v>
      </c>
      <c r="H60" s="3">
        <v>1</v>
      </c>
      <c r="I60" s="3">
        <v>0</v>
      </c>
      <c r="J60" s="3">
        <v>0</v>
      </c>
      <c r="K60" s="3">
        <f>'Data (ignore)'!B1172</f>
        <v>16.8</v>
      </c>
      <c r="L60" s="15">
        <v>-1000</v>
      </c>
      <c r="M60" s="10">
        <f t="shared" ref="M60:M72" si="14">G60*H60*K60+(I60)+(J60)</f>
        <v>6109.090909090909</v>
      </c>
      <c r="N60" s="3">
        <f ca="1">($Z$17-D60)/365</f>
        <v>11.402739726027397</v>
      </c>
      <c r="O60" s="12">
        <f t="shared" ref="O60:O71" si="15">(M60-1000)/1000</f>
        <v>5.1090909090909093</v>
      </c>
      <c r="P60" s="12">
        <f t="shared" ref="P60:P71" ca="1" si="16">(M60/1000)^(1/N60)-1</f>
        <v>0.17200307001053061</v>
      </c>
      <c r="Q60" s="9" t="s">
        <v>264</v>
      </c>
    </row>
    <row r="61" spans="1:18" x14ac:dyDescent="0.25">
      <c r="A61" t="s">
        <v>80</v>
      </c>
      <c r="B61" t="s">
        <v>81</v>
      </c>
      <c r="C61" t="s">
        <v>10</v>
      </c>
      <c r="D61" s="2">
        <v>37525</v>
      </c>
      <c r="E61" s="13">
        <f t="shared" ca="1" si="1"/>
        <v>41625.806849315071</v>
      </c>
      <c r="F61" s="3">
        <v>2.75</v>
      </c>
      <c r="G61" s="3">
        <f t="shared" si="2"/>
        <v>363.63636363636363</v>
      </c>
      <c r="H61" s="3">
        <f>1/7</f>
        <v>0.14285714285714285</v>
      </c>
      <c r="I61" s="3">
        <f>G61*H61*0.18</f>
        <v>9.3506493506493484</v>
      </c>
      <c r="J61" s="3">
        <v>0</v>
      </c>
      <c r="K61" s="3">
        <f>'Data (ignore)'!B308</f>
        <v>0.1</v>
      </c>
      <c r="L61" s="15">
        <v>-1000</v>
      </c>
      <c r="M61" s="10">
        <f t="shared" si="14"/>
        <v>14.545454545454543</v>
      </c>
      <c r="N61" s="3">
        <f ca="1">($Z$17-D61)/365</f>
        <v>11.227397260273973</v>
      </c>
      <c r="O61" s="12">
        <f t="shared" si="15"/>
        <v>-0.98545454545454547</v>
      </c>
      <c r="P61" s="12">
        <f t="shared" ca="1" si="16"/>
        <v>-0.3139463288615375</v>
      </c>
      <c r="Q61" s="9" t="s">
        <v>266</v>
      </c>
    </row>
    <row r="62" spans="1:18" x14ac:dyDescent="0.25">
      <c r="A62" t="s">
        <v>82</v>
      </c>
      <c r="B62" t="s">
        <v>83</v>
      </c>
      <c r="C62" t="s">
        <v>10</v>
      </c>
      <c r="D62" s="2">
        <v>37525</v>
      </c>
      <c r="E62" s="13">
        <f t="shared" ca="1" si="1"/>
        <v>41625.806849315071</v>
      </c>
      <c r="F62" s="3">
        <v>3</v>
      </c>
      <c r="G62" s="3">
        <f t="shared" si="2"/>
        <v>333.33333333333331</v>
      </c>
      <c r="H62" s="3">
        <v>1</v>
      </c>
      <c r="I62" s="3">
        <v>0</v>
      </c>
      <c r="J62" s="3">
        <v>0</v>
      </c>
      <c r="K62" s="3">
        <f>'Data (ignore)'!B324</f>
        <v>0.17</v>
      </c>
      <c r="L62" s="15">
        <v>-1000</v>
      </c>
      <c r="M62" s="10">
        <f t="shared" si="14"/>
        <v>56.666666666666664</v>
      </c>
      <c r="N62" s="3">
        <f ca="1">($Z$17-D62)/365</f>
        <v>11.227397260273973</v>
      </c>
      <c r="O62" s="12">
        <f t="shared" si="15"/>
        <v>-0.94333333333333336</v>
      </c>
      <c r="P62" s="12">
        <f t="shared" ca="1" si="16"/>
        <v>-0.2256066932538876</v>
      </c>
      <c r="Q62" s="9" t="s">
        <v>266</v>
      </c>
    </row>
    <row r="63" spans="1:18" x14ac:dyDescent="0.25">
      <c r="A63" t="s">
        <v>84</v>
      </c>
      <c r="B63" t="s">
        <v>85</v>
      </c>
      <c r="C63" t="s">
        <v>10</v>
      </c>
      <c r="D63" s="2">
        <v>37525</v>
      </c>
      <c r="E63" s="13">
        <f t="shared" si="1"/>
        <v>41125.464383561644</v>
      </c>
      <c r="F63" s="3">
        <v>12</v>
      </c>
      <c r="G63" s="3">
        <f t="shared" si="2"/>
        <v>83.333333333333329</v>
      </c>
      <c r="H63" s="3">
        <v>1</v>
      </c>
      <c r="I63" s="3">
        <v>0</v>
      </c>
      <c r="J63" s="3">
        <v>0</v>
      </c>
      <c r="K63" s="3">
        <v>14.25</v>
      </c>
      <c r="L63" s="15">
        <v>-1000</v>
      </c>
      <c r="M63" s="10">
        <f t="shared" si="14"/>
        <v>1187.5</v>
      </c>
      <c r="N63" s="3">
        <f>(DATE(2012,8,2)-D63)/365</f>
        <v>9.8575342465753426</v>
      </c>
      <c r="O63" s="12">
        <f t="shared" si="15"/>
        <v>0.1875</v>
      </c>
      <c r="P63" s="12">
        <f t="shared" si="16"/>
        <v>1.758624032870526E-2</v>
      </c>
      <c r="Q63" s="9" t="s">
        <v>266</v>
      </c>
      <c r="R63" t="s">
        <v>489</v>
      </c>
    </row>
    <row r="64" spans="1:18" x14ac:dyDescent="0.25">
      <c r="A64" t="s">
        <v>98</v>
      </c>
      <c r="B64" t="s">
        <v>99</v>
      </c>
      <c r="C64" t="s">
        <v>10</v>
      </c>
      <c r="D64" s="2">
        <v>37585</v>
      </c>
      <c r="E64" s="13">
        <f t="shared" ca="1" si="1"/>
        <v>41625.765753424654</v>
      </c>
      <c r="F64" s="3">
        <v>17.75</v>
      </c>
      <c r="G64" s="3">
        <f t="shared" si="2"/>
        <v>56.338028169014088</v>
      </c>
      <c r="H64" s="3">
        <v>1</v>
      </c>
      <c r="I64" s="3">
        <f>G64*(0.345+0.363+0.363+0.373+0.373+0.373+0.373+0.395+0.4+0.41+0.42+0.43+0.438+0.445+0.453+0.46+0.468+0.475+0.483+0.49+0.5+0.508+0.515+0.523+0.53+0.538+0.545+0.553+0.56+0.568+0.575+0.583+0.59+0.598+0.605+0.613+0.62+0.628+0.635+0.65+0.66+0.67+0.68+0.69)</f>
        <v>1265.7464788732395</v>
      </c>
      <c r="J64" s="3">
        <v>0</v>
      </c>
      <c r="K64" s="3">
        <f>'Data (ignore)'!B260</f>
        <v>61.2</v>
      </c>
      <c r="L64" s="15">
        <v>-1000</v>
      </c>
      <c r="M64" s="10">
        <f t="shared" si="14"/>
        <v>4713.6338028169021</v>
      </c>
      <c r="N64" s="3">
        <f ca="1">($Z$17-D64)/365</f>
        <v>11.063013698630137</v>
      </c>
      <c r="O64" s="12">
        <f t="shared" si="15"/>
        <v>3.713633802816902</v>
      </c>
      <c r="P64" s="12">
        <f t="shared" ca="1" si="16"/>
        <v>0.15044403895441039</v>
      </c>
      <c r="Q64" s="9" t="s">
        <v>267</v>
      </c>
    </row>
    <row r="65" spans="1:18" x14ac:dyDescent="0.25">
      <c r="A65" t="s">
        <v>100</v>
      </c>
      <c r="B65" t="s">
        <v>101</v>
      </c>
      <c r="C65" t="s">
        <v>10</v>
      </c>
      <c r="D65" s="2">
        <v>37585</v>
      </c>
      <c r="E65" s="13">
        <f t="shared" ca="1" si="1"/>
        <v>41625.765753424654</v>
      </c>
      <c r="F65" s="3">
        <v>20</v>
      </c>
      <c r="G65" s="3">
        <f t="shared" si="2"/>
        <v>50</v>
      </c>
      <c r="H65" s="3">
        <v>1</v>
      </c>
      <c r="I65" s="3">
        <f>G65*(0.5*43)</f>
        <v>1075</v>
      </c>
      <c r="J65" s="3">
        <v>0</v>
      </c>
      <c r="K65" s="3">
        <f>'Data (ignore)'!B340</f>
        <v>23.28</v>
      </c>
      <c r="L65" s="15">
        <v>-1000</v>
      </c>
      <c r="M65" s="10">
        <f t="shared" si="14"/>
        <v>2239</v>
      </c>
      <c r="N65" s="3">
        <f ca="1">($Z$17-D65)/365</f>
        <v>11.063013698630137</v>
      </c>
      <c r="O65" s="12">
        <f t="shared" si="15"/>
        <v>1.2390000000000001</v>
      </c>
      <c r="P65" s="12">
        <f t="shared" ca="1" si="16"/>
        <v>7.5577821786600108E-2</v>
      </c>
      <c r="Q65" s="9" t="s">
        <v>267</v>
      </c>
    </row>
    <row r="66" spans="1:18" x14ac:dyDescent="0.25">
      <c r="A66" t="s">
        <v>86</v>
      </c>
      <c r="B66" t="s">
        <v>87</v>
      </c>
      <c r="C66" t="s">
        <v>10</v>
      </c>
      <c r="D66" s="2">
        <v>37592</v>
      </c>
      <c r="E66" s="13">
        <f t="shared" si="1"/>
        <v>38033.30205479452</v>
      </c>
      <c r="F66" s="3">
        <v>18.8</v>
      </c>
      <c r="G66" s="3">
        <f t="shared" si="2"/>
        <v>53.191489361702125</v>
      </c>
      <c r="H66" s="3">
        <v>1</v>
      </c>
      <c r="I66" s="3">
        <f>G66*(0.68+0.6+0.6+0.28+0.47)</f>
        <v>139.89361702127658</v>
      </c>
      <c r="J66" s="3">
        <v>0</v>
      </c>
      <c r="K66" s="3">
        <v>20.28</v>
      </c>
      <c r="L66" s="15">
        <v>-1000</v>
      </c>
      <c r="M66" s="10">
        <f t="shared" si="14"/>
        <v>1218.6170212765958</v>
      </c>
      <c r="N66" s="3">
        <f>(DATE(2004,2,16)-D66)/365</f>
        <v>1.2082191780821918</v>
      </c>
      <c r="O66" s="12">
        <f t="shared" si="15"/>
        <v>0.21861702127659577</v>
      </c>
      <c r="P66" s="12">
        <f t="shared" si="16"/>
        <v>0.17779378293039771</v>
      </c>
      <c r="Q66" s="9" t="s">
        <v>268</v>
      </c>
      <c r="R66" t="s">
        <v>273</v>
      </c>
    </row>
    <row r="67" spans="1:18" x14ac:dyDescent="0.25">
      <c r="A67" t="s">
        <v>88</v>
      </c>
      <c r="B67" t="s">
        <v>89</v>
      </c>
      <c r="C67" t="s">
        <v>10</v>
      </c>
      <c r="D67" s="2">
        <v>37655</v>
      </c>
      <c r="E67" s="13">
        <f t="shared" ca="1" si="1"/>
        <v>41625.717808219175</v>
      </c>
      <c r="F67" s="3">
        <v>13.8</v>
      </c>
      <c r="G67" s="3">
        <f t="shared" si="2"/>
        <v>72.463768115942031</v>
      </c>
      <c r="H67" s="3">
        <v>1</v>
      </c>
      <c r="I67" s="3">
        <f>G67*(0.3+0.3+0.3+0.33+0.33+0.33+0.33+0.33+0.36+0.36+0.36+0.36+0.39+0.39+0.39+0.39+0.42+0.42+0.42+0.42+(15*0.455))</f>
        <v>1018.4782608695652</v>
      </c>
      <c r="J67" s="3">
        <v>0</v>
      </c>
      <c r="K67" s="3">
        <f>'Data (ignore)'!B356</f>
        <v>40.200000000000003</v>
      </c>
      <c r="L67" s="15">
        <v>-1000</v>
      </c>
      <c r="M67" s="10">
        <f t="shared" si="14"/>
        <v>3931.521739130435</v>
      </c>
      <c r="N67" s="3">
        <f ca="1">($Z$17-D67)/365</f>
        <v>10.871232876712329</v>
      </c>
      <c r="O67" s="12">
        <f t="shared" si="15"/>
        <v>2.9315217391304351</v>
      </c>
      <c r="P67" s="12">
        <f t="shared" ca="1" si="16"/>
        <v>0.13420404474413372</v>
      </c>
      <c r="Q67" s="9" t="s">
        <v>269</v>
      </c>
    </row>
    <row r="68" spans="1:18" x14ac:dyDescent="0.25">
      <c r="A68" t="s">
        <v>90</v>
      </c>
      <c r="B68" t="s">
        <v>91</v>
      </c>
      <c r="C68" t="s">
        <v>10</v>
      </c>
      <c r="D68" s="2">
        <v>37742</v>
      </c>
      <c r="E68" s="13">
        <f t="shared" ca="1" si="1"/>
        <v>41625.658219178084</v>
      </c>
      <c r="F68" s="3">
        <v>24.75</v>
      </c>
      <c r="G68" s="3">
        <f t="shared" si="2"/>
        <v>40.404040404040401</v>
      </c>
      <c r="H68" s="3">
        <v>1</v>
      </c>
      <c r="I68" s="3">
        <f>G68*(0.107+0.113+0.114+0.113+0.107+0.107+0.107+0.108+0.28)</f>
        <v>46.707070707070713</v>
      </c>
      <c r="J68" s="3">
        <v>0</v>
      </c>
      <c r="K68" s="3">
        <f>'Data (ignore)'!B372</f>
        <v>17.670000000000002</v>
      </c>
      <c r="L68" s="15">
        <v>-1000</v>
      </c>
      <c r="M68" s="10">
        <f t="shared" si="14"/>
        <v>760.64646464646466</v>
      </c>
      <c r="N68" s="3">
        <f ca="1">($Z$17-D68)/365</f>
        <v>10.632876712328768</v>
      </c>
      <c r="O68" s="12">
        <f t="shared" si="15"/>
        <v>-0.23935353535353535</v>
      </c>
      <c r="P68" s="12">
        <f t="shared" ca="1" si="16"/>
        <v>-2.540204986941863E-2</v>
      </c>
      <c r="Q68" s="9" t="s">
        <v>270</v>
      </c>
    </row>
    <row r="69" spans="1:18" x14ac:dyDescent="0.25">
      <c r="A69" t="s">
        <v>92</v>
      </c>
      <c r="B69" t="s">
        <v>93</v>
      </c>
      <c r="C69" t="s">
        <v>10</v>
      </c>
      <c r="D69" s="2">
        <v>37847</v>
      </c>
      <c r="E69" s="13">
        <f t="shared" ca="1" si="1"/>
        <v>41625.586301369862</v>
      </c>
      <c r="F69" s="3">
        <v>26.9</v>
      </c>
      <c r="G69" s="3">
        <f t="shared" si="2"/>
        <v>37.174721189591082</v>
      </c>
      <c r="H69" s="3">
        <v>1</v>
      </c>
      <c r="I69" s="3">
        <f>G69*(0.35+0.35+0.35+0.35+0.36+0.36+0.38+0.38+0.38+0.38+0.4+0.4+0.4+0.4+0.42+(25*0.42)+3*0.44)</f>
        <v>649.8141263940521</v>
      </c>
      <c r="J69" s="3">
        <v>0</v>
      </c>
      <c r="K69" s="3">
        <f>K91</f>
        <v>44.18</v>
      </c>
      <c r="L69" s="15">
        <v>-1000</v>
      </c>
      <c r="M69" s="10">
        <f t="shared" si="14"/>
        <v>2292.193308550186</v>
      </c>
      <c r="N69" s="3">
        <f ca="1">($Z$17-D69)/365</f>
        <v>10.345205479452055</v>
      </c>
      <c r="O69" s="12">
        <f t="shared" si="15"/>
        <v>1.292193308550186</v>
      </c>
      <c r="P69" s="12">
        <f t="shared" ca="1" si="16"/>
        <v>8.3485277588949858E-2</v>
      </c>
      <c r="Q69" s="9" t="s">
        <v>271</v>
      </c>
    </row>
    <row r="70" spans="1:18" x14ac:dyDescent="0.25">
      <c r="A70" t="s">
        <v>400</v>
      </c>
      <c r="B70" t="s">
        <v>401</v>
      </c>
      <c r="C70" t="s">
        <v>10</v>
      </c>
      <c r="D70" s="2">
        <v>37950</v>
      </c>
      <c r="E70" s="13">
        <f t="shared" si="1"/>
        <v>39411</v>
      </c>
      <c r="F70" s="3">
        <v>4</v>
      </c>
      <c r="G70" s="3">
        <f t="shared" si="2"/>
        <v>250</v>
      </c>
      <c r="H70" s="3">
        <v>1</v>
      </c>
      <c r="I70" s="3">
        <v>0</v>
      </c>
      <c r="J70" s="3">
        <v>0</v>
      </c>
      <c r="K70" s="3">
        <v>16</v>
      </c>
      <c r="L70" s="15">
        <v>-1000</v>
      </c>
      <c r="M70" s="10">
        <f>125*8+125*16</f>
        <v>3000</v>
      </c>
      <c r="N70" s="3">
        <v>4</v>
      </c>
      <c r="O70" s="12">
        <f t="shared" si="15"/>
        <v>2</v>
      </c>
      <c r="P70" s="12">
        <f t="shared" si="16"/>
        <v>0.3160740129524926</v>
      </c>
      <c r="Q70" s="9" t="s">
        <v>423</v>
      </c>
    </row>
    <row r="71" spans="1:18" x14ac:dyDescent="0.25">
      <c r="A71" t="s">
        <v>94</v>
      </c>
      <c r="B71" t="s">
        <v>96</v>
      </c>
      <c r="C71" t="s">
        <v>10</v>
      </c>
      <c r="D71" s="2">
        <v>37978</v>
      </c>
      <c r="E71" s="13">
        <f t="shared" ca="1" si="1"/>
        <v>39193.832191780821</v>
      </c>
      <c r="F71" s="3">
        <v>0.35</v>
      </c>
      <c r="G71" s="3">
        <f t="shared" si="2"/>
        <v>2857.1428571428573</v>
      </c>
      <c r="H71" s="3">
        <v>1</v>
      </c>
      <c r="I71" s="3">
        <v>0</v>
      </c>
      <c r="J71" s="3">
        <v>0</v>
      </c>
      <c r="K71" s="3">
        <v>7.0000000000000007E-2</v>
      </c>
      <c r="L71" s="15">
        <v>-1000</v>
      </c>
      <c r="M71" s="10">
        <f>(952*0.65)+(952*0.98)+(938*K71)</f>
        <v>1617.4200000000003</v>
      </c>
      <c r="N71" s="3">
        <f ca="1">($Z$17-D71)/365/3</f>
        <v>3.3287671232876712</v>
      </c>
      <c r="O71" s="12">
        <f t="shared" si="15"/>
        <v>0.6174200000000003</v>
      </c>
      <c r="P71" s="12">
        <f t="shared" ca="1" si="16"/>
        <v>0.15540110357225823</v>
      </c>
      <c r="Q71" s="9" t="s">
        <v>272</v>
      </c>
      <c r="R71" t="s">
        <v>97</v>
      </c>
    </row>
    <row r="72" spans="1:18" x14ac:dyDescent="0.25">
      <c r="A72" t="s">
        <v>95</v>
      </c>
      <c r="B72" t="s">
        <v>95</v>
      </c>
      <c r="C72" t="s">
        <v>10</v>
      </c>
      <c r="D72" s="2">
        <v>37978</v>
      </c>
      <c r="E72" s="13">
        <f t="shared" ca="1" si="1"/>
        <v>40370.137328767123</v>
      </c>
      <c r="F72" s="3">
        <v>3.5</v>
      </c>
      <c r="G72" s="3">
        <f t="shared" si="2"/>
        <v>285.71428571428572</v>
      </c>
      <c r="H72" s="3">
        <v>1</v>
      </c>
      <c r="I72" s="3">
        <v>0</v>
      </c>
      <c r="J72" s="3">
        <f>G72*0.0856*(24.53+(0.415*8)+(11*0.208)+0.213+0.213+0.217*4)</f>
        <v>768.73691428571431</v>
      </c>
      <c r="K72" s="3">
        <v>1.8</v>
      </c>
      <c r="L72" s="15">
        <v>-1000</v>
      </c>
      <c r="M72" s="10">
        <f t="shared" si="14"/>
        <v>1283.0226285714286</v>
      </c>
      <c r="N72" s="3">
        <f ca="1">((DATE(2007,2,1)+$Z$17)/2-D72)/365</f>
        <v>6.5493150684931507</v>
      </c>
      <c r="O72" s="12">
        <f t="shared" ref="O72:O79" si="17">(M72-1000)/1000</f>
        <v>0.28302262857142862</v>
      </c>
      <c r="P72" s="12">
        <f t="shared" ref="P72:P79" ca="1" si="18">(M72/1000)^(1/N72)-1</f>
        <v>3.878591220414962E-2</v>
      </c>
      <c r="Q72" s="9" t="s">
        <v>272</v>
      </c>
      <c r="R72" t="s">
        <v>408</v>
      </c>
    </row>
    <row r="73" spans="1:18" x14ac:dyDescent="0.25">
      <c r="A73" t="s">
        <v>51</v>
      </c>
      <c r="B73" t="s">
        <v>52</v>
      </c>
      <c r="C73" t="s">
        <v>10</v>
      </c>
      <c r="D73" s="2">
        <v>37978</v>
      </c>
      <c r="E73" s="13">
        <f t="shared" si="1"/>
        <v>38631.44726027397</v>
      </c>
      <c r="F73" s="3">
        <v>10.15</v>
      </c>
      <c r="G73" s="3">
        <f t="shared" si="2"/>
        <v>98.522167487684726</v>
      </c>
      <c r="H73" s="3">
        <v>1</v>
      </c>
      <c r="I73" s="3">
        <v>0</v>
      </c>
      <c r="J73" s="3">
        <v>0</v>
      </c>
      <c r="K73" s="3">
        <v>20</v>
      </c>
      <c r="L73" s="15">
        <v>-1000</v>
      </c>
      <c r="M73" s="10">
        <f>G73*H73*K73+(I73)+(J73)</f>
        <v>1970.4433497536945</v>
      </c>
      <c r="N73" s="3">
        <f>(DATE(2005,10,6)-D73)/365</f>
        <v>1.789041095890411</v>
      </c>
      <c r="O73" s="12">
        <f t="shared" si="17"/>
        <v>0.97044334975369451</v>
      </c>
      <c r="P73" s="12">
        <f t="shared" si="18"/>
        <v>0.46099614646944564</v>
      </c>
      <c r="Q73" s="9" t="s">
        <v>272</v>
      </c>
      <c r="R73" t="s">
        <v>247</v>
      </c>
    </row>
    <row r="74" spans="1:18" x14ac:dyDescent="0.25">
      <c r="A74" t="s">
        <v>104</v>
      </c>
      <c r="B74" t="s">
        <v>105</v>
      </c>
      <c r="C74" t="s">
        <v>10</v>
      </c>
      <c r="D74" s="2">
        <v>38033</v>
      </c>
      <c r="E74" s="13">
        <f t="shared" ca="1" si="1"/>
        <v>40075.397945205477</v>
      </c>
      <c r="F74" s="3">
        <v>7.9</v>
      </c>
      <c r="G74" s="3">
        <f t="shared" si="2"/>
        <v>126.58227848101265</v>
      </c>
      <c r="H74" s="3">
        <v>1</v>
      </c>
      <c r="I74" s="3">
        <f>G74*1</f>
        <v>126.58227848101265</v>
      </c>
      <c r="J74" s="3">
        <v>0</v>
      </c>
      <c r="K74" s="3">
        <v>0</v>
      </c>
      <c r="L74" s="15">
        <v>-1000</v>
      </c>
      <c r="M74" s="10">
        <f>G74/2*14+G74/2*K74+I74</f>
        <v>1012.6582278481012</v>
      </c>
      <c r="N74" s="3">
        <f ca="1">((DATE(2005,6,22)+$Z$17)/2-D74)/365</f>
        <v>5.5917808219178085</v>
      </c>
      <c r="O74" s="12">
        <f t="shared" si="17"/>
        <v>1.2658227848101205E-2</v>
      </c>
      <c r="P74" s="12">
        <f t="shared" ca="1" si="18"/>
        <v>2.252044793609187E-3</v>
      </c>
      <c r="Q74" s="9" t="s">
        <v>274</v>
      </c>
      <c r="R74" t="s">
        <v>116</v>
      </c>
    </row>
    <row r="75" spans="1:18" x14ac:dyDescent="0.25">
      <c r="A75" t="s">
        <v>106</v>
      </c>
      <c r="C75" t="s">
        <v>10</v>
      </c>
      <c r="D75" s="2">
        <v>38033</v>
      </c>
      <c r="E75" s="13">
        <f t="shared" si="1"/>
        <v>38755.494520547945</v>
      </c>
      <c r="F75" s="3">
        <v>4.5</v>
      </c>
      <c r="G75" s="3">
        <f t="shared" si="2"/>
        <v>222.22222222222223</v>
      </c>
      <c r="H75" s="3">
        <v>1</v>
      </c>
      <c r="I75" s="3">
        <v>0</v>
      </c>
      <c r="J75" s="3">
        <v>0</v>
      </c>
      <c r="K75" s="3">
        <v>11.11</v>
      </c>
      <c r="L75" s="15">
        <v>-1000</v>
      </c>
      <c r="M75" s="10">
        <f>G75*3/4*H75*K75+(I75)+(J75)</f>
        <v>1851.6666666666667</v>
      </c>
      <c r="N75" s="3">
        <f>(DATE(2006,2,7)-D75)/365</f>
        <v>1.978082191780822</v>
      </c>
      <c r="O75" s="12">
        <f t="shared" si="17"/>
        <v>0.85166666666666679</v>
      </c>
      <c r="P75" s="12">
        <f t="shared" si="18"/>
        <v>0.36541209857762258</v>
      </c>
      <c r="Q75" s="9" t="s">
        <v>274</v>
      </c>
      <c r="R75" t="s">
        <v>126</v>
      </c>
    </row>
    <row r="76" spans="1:18" x14ac:dyDescent="0.25">
      <c r="A76" t="s">
        <v>102</v>
      </c>
      <c r="B76" t="s">
        <v>103</v>
      </c>
      <c r="C76" t="s">
        <v>10</v>
      </c>
      <c r="D76" s="2">
        <v>38152</v>
      </c>
      <c r="E76" s="13">
        <f t="shared" si="1"/>
        <v>40722.759589041096</v>
      </c>
      <c r="F76" s="3">
        <v>55.91</v>
      </c>
      <c r="G76" s="3">
        <f t="shared" si="2"/>
        <v>17.885888034340905</v>
      </c>
      <c r="H76" s="3">
        <v>2</v>
      </c>
      <c r="I76" s="3">
        <f>G76*H76*(0.18+39*0.09+0.07+0.07)</f>
        <v>137.0059023430513</v>
      </c>
      <c r="J76" s="3">
        <v>0</v>
      </c>
      <c r="K76" s="3">
        <v>86.03</v>
      </c>
      <c r="L76" s="15">
        <v>-1000</v>
      </c>
      <c r="M76" s="10">
        <f>G76*H76*K76+(I76)+(J76)</f>
        <v>3214.4517975317476</v>
      </c>
      <c r="N76" s="3">
        <f>(DATE(2011,6,27)-D76)/365</f>
        <v>7.0383561643835613</v>
      </c>
      <c r="O76" s="12">
        <f t="shared" si="17"/>
        <v>2.2144517975317477</v>
      </c>
      <c r="P76" s="12">
        <f t="shared" si="18"/>
        <v>0.18045396711189543</v>
      </c>
      <c r="Q76" s="9" t="s">
        <v>275</v>
      </c>
      <c r="R76" t="s">
        <v>208</v>
      </c>
    </row>
    <row r="77" spans="1:18" x14ac:dyDescent="0.25">
      <c r="A77" t="s">
        <v>80</v>
      </c>
      <c r="B77" t="s">
        <v>81</v>
      </c>
      <c r="C77" t="s">
        <v>10</v>
      </c>
      <c r="D77" s="2">
        <v>38215</v>
      </c>
      <c r="E77" s="13">
        <f t="shared" ca="1" si="1"/>
        <v>41625.334246575345</v>
      </c>
      <c r="F77" s="3">
        <v>2.69</v>
      </c>
      <c r="G77" s="3">
        <f t="shared" si="2"/>
        <v>371.74721189591077</v>
      </c>
      <c r="H77" s="3">
        <v>1</v>
      </c>
      <c r="I77" s="3">
        <v>0</v>
      </c>
      <c r="J77" s="3">
        <v>0</v>
      </c>
      <c r="K77" s="3">
        <f>'Data (ignore)'!B308</f>
        <v>0.1</v>
      </c>
      <c r="L77" s="15">
        <v>-1000</v>
      </c>
      <c r="M77" s="10">
        <f>G77*H77*K77+(I77)+(J77)</f>
        <v>37.174721189591075</v>
      </c>
      <c r="N77" s="3">
        <f ca="1">($Z$17-D77)/365</f>
        <v>9.3369863013698637</v>
      </c>
      <c r="O77" s="12">
        <f t="shared" si="17"/>
        <v>-0.96282527881040891</v>
      </c>
      <c r="P77" s="12">
        <f t="shared" ca="1" si="18"/>
        <v>-0.29713456193383658</v>
      </c>
      <c r="Q77" s="9" t="s">
        <v>276</v>
      </c>
    </row>
    <row r="78" spans="1:18" x14ac:dyDescent="0.25">
      <c r="A78" t="s">
        <v>107</v>
      </c>
      <c r="B78" t="s">
        <v>108</v>
      </c>
      <c r="C78" t="s">
        <v>10</v>
      </c>
      <c r="D78" s="2">
        <v>38222</v>
      </c>
      <c r="E78" s="13">
        <f t="shared" si="1"/>
        <v>38275.036301369866</v>
      </c>
      <c r="F78" s="3">
        <v>16</v>
      </c>
      <c r="G78" s="3">
        <f t="shared" si="2"/>
        <v>62.5</v>
      </c>
      <c r="H78" s="3">
        <v>1</v>
      </c>
      <c r="I78" s="3">
        <v>0</v>
      </c>
      <c r="J78" s="3">
        <v>0</v>
      </c>
      <c r="K78" s="3">
        <v>16.739999999999998</v>
      </c>
      <c r="L78" s="15">
        <v>-1000</v>
      </c>
      <c r="M78" s="10">
        <f>G78*H78*K78+(I78)+(J78)</f>
        <v>1046.25</v>
      </c>
      <c r="N78" s="3">
        <f>(DATE(2004,10,15)-D78)/365</f>
        <v>0.14520547945205478</v>
      </c>
      <c r="O78" s="12">
        <f t="shared" si="17"/>
        <v>4.6249999999999999E-2</v>
      </c>
      <c r="P78" s="12">
        <f t="shared" si="18"/>
        <v>0.36529158514907145</v>
      </c>
      <c r="Q78" s="9" t="s">
        <v>278</v>
      </c>
      <c r="R78" t="s">
        <v>280</v>
      </c>
    </row>
    <row r="79" spans="1:18" x14ac:dyDescent="0.25">
      <c r="A79" t="s">
        <v>279</v>
      </c>
      <c r="B79" t="s">
        <v>109</v>
      </c>
      <c r="C79" t="s">
        <v>10</v>
      </c>
      <c r="D79" s="2">
        <v>38267</v>
      </c>
      <c r="E79" s="13">
        <f t="shared" si="1"/>
        <v>38720.310273972602</v>
      </c>
      <c r="F79" s="3">
        <v>20</v>
      </c>
      <c r="G79" s="3">
        <f t="shared" si="2"/>
        <v>50</v>
      </c>
      <c r="H79" s="3">
        <v>1</v>
      </c>
      <c r="I79" s="3">
        <v>0</v>
      </c>
      <c r="J79" s="3">
        <v>0</v>
      </c>
      <c r="K79" s="3">
        <v>14</v>
      </c>
      <c r="L79" s="15">
        <v>-1000</v>
      </c>
      <c r="M79" s="10">
        <f>G79*H79*K79+(I79)+(J79)</f>
        <v>700</v>
      </c>
      <c r="N79" s="3">
        <f>(DATE(2006,1,3)-D79)/365</f>
        <v>1.2410958904109588</v>
      </c>
      <c r="O79" s="12">
        <f t="shared" si="17"/>
        <v>-0.3</v>
      </c>
      <c r="P79" s="12">
        <f t="shared" si="18"/>
        <v>-0.24977873511099591</v>
      </c>
      <c r="Q79" s="9" t="s">
        <v>277</v>
      </c>
      <c r="R79" t="s">
        <v>123</v>
      </c>
    </row>
    <row r="80" spans="1:18" x14ac:dyDescent="0.25">
      <c r="A80" t="s">
        <v>402</v>
      </c>
      <c r="B80" t="s">
        <v>403</v>
      </c>
      <c r="C80" t="s">
        <v>10</v>
      </c>
      <c r="D80" s="2">
        <v>38278</v>
      </c>
      <c r="E80" s="13">
        <f t="shared" si="1"/>
        <v>39008.5</v>
      </c>
      <c r="F80" s="3">
        <v>22.7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15">
        <v>-1000</v>
      </c>
      <c r="M80" s="10">
        <v>0</v>
      </c>
      <c r="N80" s="3">
        <v>2</v>
      </c>
      <c r="O80" s="12">
        <v>-1</v>
      </c>
      <c r="P80" s="12">
        <v>-1</v>
      </c>
      <c r="Q80" s="9" t="s">
        <v>419</v>
      </c>
      <c r="R80" t="s">
        <v>418</v>
      </c>
    </row>
    <row r="81" spans="1:18" x14ac:dyDescent="0.25">
      <c r="A81" t="s">
        <v>111</v>
      </c>
      <c r="B81" t="s">
        <v>112</v>
      </c>
      <c r="C81" t="s">
        <v>10</v>
      </c>
      <c r="D81" s="2">
        <v>38334</v>
      </c>
      <c r="E81" s="13">
        <f t="shared" ca="1" si="1"/>
        <v>41625.252739726027</v>
      </c>
      <c r="F81" s="3">
        <v>22.48</v>
      </c>
      <c r="G81" s="3">
        <f t="shared" si="2"/>
        <v>44.483985765124551</v>
      </c>
      <c r="H81" s="3">
        <v>0.5</v>
      </c>
      <c r="I81" s="3">
        <f>31.13*G81*H81</f>
        <v>692.39323843416366</v>
      </c>
      <c r="J81" s="3">
        <v>0</v>
      </c>
      <c r="K81" s="3">
        <f>'Data (ignore)'!B420</f>
        <v>39.979999999999997</v>
      </c>
      <c r="L81" s="15">
        <v>-1000</v>
      </c>
      <c r="M81" s="10">
        <f>K81*G81*H81+I81</f>
        <v>1581.6281138790034</v>
      </c>
      <c r="N81" s="3">
        <f ca="1">($Z$17-D81)/365</f>
        <v>9.0109589041095894</v>
      </c>
      <c r="O81" s="12">
        <f>(M81-1000)/1000</f>
        <v>0.58162811387900337</v>
      </c>
      <c r="P81" s="12">
        <f ca="1">(M81/1000)^(1/N81)-1</f>
        <v>5.2193957372082433E-2</v>
      </c>
      <c r="Q81" s="9" t="s">
        <v>417</v>
      </c>
    </row>
    <row r="82" spans="1:18" x14ac:dyDescent="0.25">
      <c r="A82" t="s">
        <v>281</v>
      </c>
      <c r="B82" t="s">
        <v>113</v>
      </c>
      <c r="C82" t="s">
        <v>10</v>
      </c>
      <c r="D82" s="2">
        <v>38400</v>
      </c>
      <c r="E82" s="13">
        <f t="shared" ref="E82:E145" si="19">D82+(365.25*N82)</f>
        <v>38791.267808219178</v>
      </c>
      <c r="F82" s="3">
        <v>32.64</v>
      </c>
      <c r="G82" s="3">
        <f t="shared" si="2"/>
        <v>30.637254901960784</v>
      </c>
      <c r="H82" s="3">
        <v>1</v>
      </c>
      <c r="I82" s="3">
        <v>0</v>
      </c>
      <c r="J82" s="3">
        <v>0</v>
      </c>
      <c r="K82" s="3">
        <f>(29.38+35.47)/2</f>
        <v>32.424999999999997</v>
      </c>
      <c r="L82" s="15">
        <v>-1000</v>
      </c>
      <c r="M82" s="10">
        <f>G82*H82*K82+(I82)+(J82)</f>
        <v>993.41299019607834</v>
      </c>
      <c r="N82" s="3">
        <f>((DATE(2005,9,30)+DATE(2006,8,28))/2-D82)/365</f>
        <v>1.0712328767123287</v>
      </c>
      <c r="O82" s="12">
        <f>(M82-1000)/1000</f>
        <v>-6.5870098039216597E-3</v>
      </c>
      <c r="P82" s="12">
        <f>(M82/1000)^(1/N82)-1</f>
        <v>-6.1503487502631016E-3</v>
      </c>
      <c r="Q82" s="9" t="s">
        <v>282</v>
      </c>
      <c r="R82" t="s">
        <v>292</v>
      </c>
    </row>
    <row r="83" spans="1:18" x14ac:dyDescent="0.25">
      <c r="A83" t="s">
        <v>404</v>
      </c>
      <c r="B83" t="s">
        <v>405</v>
      </c>
      <c r="C83" t="s">
        <v>10</v>
      </c>
      <c r="D83" s="2">
        <v>38429</v>
      </c>
      <c r="E83" s="13">
        <f t="shared" si="19"/>
        <v>38545.079452054793</v>
      </c>
      <c r="F83" s="3">
        <v>11.8</v>
      </c>
      <c r="G83" s="3">
        <f t="shared" si="2"/>
        <v>84.745762711864401</v>
      </c>
      <c r="H83" s="3">
        <v>1</v>
      </c>
      <c r="I83" s="3">
        <v>0</v>
      </c>
      <c r="J83" s="3">
        <v>0</v>
      </c>
      <c r="K83" s="3">
        <v>27</v>
      </c>
      <c r="L83" s="15">
        <v>-1000</v>
      </c>
      <c r="M83" s="10">
        <f>G83*H83*K83+(I83)+(J83)</f>
        <v>2288.1355932203387</v>
      </c>
      <c r="N83" s="3">
        <f>(DATE(2005,7,12)-D83)/365</f>
        <v>0.31780821917808222</v>
      </c>
      <c r="O83" s="12">
        <f>(M83-1000)/1000</f>
        <v>1.2881355932203387</v>
      </c>
      <c r="P83" s="12">
        <f>(M83/1000)^(1/N83)-1</f>
        <v>12.524709382989997</v>
      </c>
      <c r="Q83" s="9" t="s">
        <v>283</v>
      </c>
    </row>
    <row r="84" spans="1:18" x14ac:dyDescent="0.25">
      <c r="A84" t="s">
        <v>114</v>
      </c>
      <c r="B84" t="s">
        <v>115</v>
      </c>
      <c r="C84" t="s">
        <v>10</v>
      </c>
      <c r="D84" s="2">
        <v>38429</v>
      </c>
      <c r="E84" s="13">
        <f t="shared" ca="1" si="19"/>
        <v>40411.857191780822</v>
      </c>
      <c r="F84" s="3">
        <v>52.4</v>
      </c>
      <c r="G84" s="3">
        <f t="shared" si="2"/>
        <v>19.083969465648856</v>
      </c>
      <c r="H84" s="3">
        <v>1</v>
      </c>
      <c r="I84" s="3">
        <f>G84*(0.48+0.9+3.06+0.2+0.23+0.23)</f>
        <v>97.32824427480918</v>
      </c>
      <c r="J84" s="3">
        <f>G84/5*(105.47+0.66+0.75+1.19+0.72+0.23+0.23+0.23+0.28+0.35+0.35+0.45+0.45+0.52*3)</f>
        <v>430.99236641221376</v>
      </c>
      <c r="K84" s="3">
        <f>'Data (ignore)'!B724</f>
        <v>83.3</v>
      </c>
      <c r="L84" s="15">
        <v>-1000</v>
      </c>
      <c r="M84" s="10">
        <f>(G84/2*H84*K84)+(G84/2*60.67)+(I84)+(J84)</f>
        <v>1902.080152671756</v>
      </c>
      <c r="N84" s="3">
        <f ca="1">(($Z$17+DATE(2007,4,26))/2-D84)/365</f>
        <v>5.4287671232876713</v>
      </c>
      <c r="O84" s="12">
        <f t="shared" ref="O84:O89" si="20">(M84-1000)/1000</f>
        <v>0.90208015267175601</v>
      </c>
      <c r="P84" s="12">
        <f t="shared" ref="P84:P89" ca="1" si="21">(M84/1000)^(1/N84)-1</f>
        <v>0.12573205468497983</v>
      </c>
      <c r="Q84" s="9" t="s">
        <v>283</v>
      </c>
      <c r="R84" t="s">
        <v>133</v>
      </c>
    </row>
    <row r="85" spans="1:18" x14ac:dyDescent="0.25">
      <c r="A85" t="s">
        <v>251</v>
      </c>
      <c r="B85" t="s">
        <v>252</v>
      </c>
      <c r="C85" t="s">
        <v>26</v>
      </c>
      <c r="D85" s="2">
        <v>38539</v>
      </c>
      <c r="E85" s="13">
        <f t="shared" si="19"/>
        <v>39839.890410958906</v>
      </c>
      <c r="F85" s="3">
        <v>22</v>
      </c>
      <c r="G85" s="3">
        <f t="shared" si="2"/>
        <v>45.454545454545453</v>
      </c>
      <c r="H85" s="3">
        <v>1</v>
      </c>
      <c r="I85" s="3">
        <v>0</v>
      </c>
      <c r="J85" s="3">
        <v>0</v>
      </c>
      <c r="K85" s="3">
        <v>0.8</v>
      </c>
      <c r="L85" s="15">
        <v>-1000</v>
      </c>
      <c r="M85" s="10">
        <f>G85*F85-G85*K85+1000</f>
        <v>1963.6363636363635</v>
      </c>
      <c r="N85" s="3">
        <f>(DATE(2009,1,26)-D85)/365</f>
        <v>3.5616438356164384</v>
      </c>
      <c r="O85" s="12">
        <f t="shared" si="20"/>
        <v>0.96363636363636351</v>
      </c>
      <c r="P85" s="12">
        <f t="shared" si="21"/>
        <v>0.20859983345639188</v>
      </c>
      <c r="Q85" s="9" t="s">
        <v>399</v>
      </c>
    </row>
    <row r="86" spans="1:18" x14ac:dyDescent="0.25">
      <c r="A86" t="s">
        <v>251</v>
      </c>
      <c r="B86" t="s">
        <v>398</v>
      </c>
      <c r="C86" t="s">
        <v>10</v>
      </c>
      <c r="D86" s="2">
        <v>38539</v>
      </c>
      <c r="E86" s="13">
        <f t="shared" si="19"/>
        <v>38706.114383561646</v>
      </c>
      <c r="F86" s="3">
        <v>8</v>
      </c>
      <c r="G86" s="3">
        <f t="shared" si="2"/>
        <v>125</v>
      </c>
      <c r="H86" s="3">
        <v>1</v>
      </c>
      <c r="I86" s="3">
        <v>0</v>
      </c>
      <c r="J86" s="3">
        <v>0</v>
      </c>
      <c r="K86" s="3">
        <v>15</v>
      </c>
      <c r="L86" s="15">
        <v>-1000</v>
      </c>
      <c r="M86" s="10">
        <f>G86*K86-G86*F86+1000</f>
        <v>1875</v>
      </c>
      <c r="N86" s="3">
        <f>(DATE(2005,12,20)-D86)/365</f>
        <v>0.45753424657534247</v>
      </c>
      <c r="O86" s="12">
        <f t="shared" si="20"/>
        <v>0.875</v>
      </c>
      <c r="P86" s="12">
        <f t="shared" si="21"/>
        <v>2.9507488918948552</v>
      </c>
      <c r="Q86" s="9" t="s">
        <v>399</v>
      </c>
    </row>
    <row r="87" spans="1:18" x14ac:dyDescent="0.25">
      <c r="A87" t="s">
        <v>117</v>
      </c>
      <c r="B87" t="s">
        <v>285</v>
      </c>
      <c r="C87" t="s">
        <v>10</v>
      </c>
      <c r="D87" s="2">
        <v>38625</v>
      </c>
      <c r="E87" s="13">
        <f t="shared" si="19"/>
        <v>39359.502739726027</v>
      </c>
      <c r="F87" s="3">
        <v>30.8</v>
      </c>
      <c r="G87" s="3">
        <f t="shared" si="2"/>
        <v>32.467532467532465</v>
      </c>
      <c r="H87" s="3">
        <v>1</v>
      </c>
      <c r="I87" s="3">
        <f>G87*2.5</f>
        <v>81.168831168831161</v>
      </c>
      <c r="J87" s="3">
        <v>0</v>
      </c>
      <c r="K87" s="3">
        <v>42</v>
      </c>
      <c r="L87" s="15">
        <v>-1000</v>
      </c>
      <c r="M87" s="10">
        <f>G87*H87*K87+(I87)+(J87)</f>
        <v>1444.8051948051948</v>
      </c>
      <c r="N87" s="3">
        <f>(DATE(2007,10,4)-D87)/365</f>
        <v>2.010958904109589</v>
      </c>
      <c r="O87" s="12">
        <f t="shared" si="20"/>
        <v>0.44480519480519481</v>
      </c>
      <c r="P87" s="12">
        <f t="shared" si="21"/>
        <v>0.20079590881900722</v>
      </c>
      <c r="Q87" s="9" t="s">
        <v>284</v>
      </c>
    </row>
    <row r="88" spans="1:18" x14ac:dyDescent="0.25">
      <c r="A88" t="s">
        <v>118</v>
      </c>
      <c r="B88" t="s">
        <v>119</v>
      </c>
      <c r="C88" t="s">
        <v>10</v>
      </c>
      <c r="D88" s="2">
        <v>38625</v>
      </c>
      <c r="E88" s="13">
        <f t="shared" ca="1" si="19"/>
        <v>41625.053424657533</v>
      </c>
      <c r="F88" s="3">
        <v>38.61</v>
      </c>
      <c r="G88" s="3">
        <f t="shared" ref="G88:G165" si="22">1000/F88</f>
        <v>25.900025900025902</v>
      </c>
      <c r="H88" s="3">
        <v>1</v>
      </c>
      <c r="I88" s="3">
        <f>G88*(0.37*8+0.41*18+0.43*4+0.45*3)</f>
        <v>347.31934731934734</v>
      </c>
      <c r="J88" s="3">
        <v>0</v>
      </c>
      <c r="K88" s="3">
        <f>'Data (ignore)'!B436</f>
        <v>59.95</v>
      </c>
      <c r="L88" s="15">
        <v>-1000</v>
      </c>
      <c r="M88" s="10">
        <f>G88*H88*K88+(I88)+(J88)</f>
        <v>1900.0259000259002</v>
      </c>
      <c r="N88" s="3">
        <f ca="1">($Z$17-D88)/365</f>
        <v>8.213698630136987</v>
      </c>
      <c r="O88" s="12">
        <f t="shared" si="20"/>
        <v>0.90002590002590022</v>
      </c>
      <c r="P88" s="12">
        <f t="shared" ca="1" si="21"/>
        <v>8.1280491000785382E-2</v>
      </c>
      <c r="Q88" s="9" t="s">
        <v>284</v>
      </c>
    </row>
    <row r="89" spans="1:18" x14ac:dyDescent="0.25">
      <c r="A89" t="s">
        <v>120</v>
      </c>
      <c r="B89" t="s">
        <v>121</v>
      </c>
      <c r="C89" t="s">
        <v>10</v>
      </c>
      <c r="D89" s="2">
        <v>38625</v>
      </c>
      <c r="E89" s="13">
        <f t="shared" ca="1" si="19"/>
        <v>41625.053424657533</v>
      </c>
      <c r="F89" s="3">
        <v>33.65</v>
      </c>
      <c r="G89" s="3">
        <f t="shared" si="22"/>
        <v>29.717682020802378</v>
      </c>
      <c r="H89" s="3">
        <v>1</v>
      </c>
      <c r="I89" s="3">
        <f>G89*(1+1.12+1.86+0.5+0.12+0.14+0.14+0.15+0.15+0.17+0.17+0.17+0.17+0.19*4)</f>
        <v>196.73105497771175</v>
      </c>
      <c r="J89" s="3">
        <v>0</v>
      </c>
      <c r="K89" s="3">
        <f>'Data (ignore)'!B452</f>
        <v>26.54</v>
      </c>
      <c r="L89" s="15">
        <v>-1000</v>
      </c>
      <c r="M89" s="10">
        <f>G89*H89*K89+(I89)+(J89)</f>
        <v>985.43833580980686</v>
      </c>
      <c r="N89" s="3">
        <f ca="1">($Z$17-D89)/365</f>
        <v>8.213698630136987</v>
      </c>
      <c r="O89" s="12">
        <f t="shared" si="20"/>
        <v>-1.4561664190193141E-2</v>
      </c>
      <c r="P89" s="12">
        <f t="shared" ca="1" si="21"/>
        <v>-1.784291820849937E-3</v>
      </c>
      <c r="Q89" s="9" t="s">
        <v>284</v>
      </c>
    </row>
    <row r="90" spans="1:18" x14ac:dyDescent="0.25">
      <c r="A90" t="s">
        <v>122</v>
      </c>
      <c r="B90" t="s">
        <v>286</v>
      </c>
      <c r="C90" t="s">
        <v>10</v>
      </c>
      <c r="D90" s="2">
        <v>38685</v>
      </c>
      <c r="E90" s="13">
        <f t="shared" si="19"/>
        <v>39060.256849315068</v>
      </c>
      <c r="F90" s="3">
        <v>28</v>
      </c>
      <c r="G90" s="3">
        <f t="shared" si="22"/>
        <v>35.714285714285715</v>
      </c>
      <c r="H90" s="3">
        <v>1</v>
      </c>
      <c r="I90" s="3">
        <v>0</v>
      </c>
      <c r="J90" s="3">
        <v>0</v>
      </c>
      <c r="K90" s="3">
        <v>29.9</v>
      </c>
      <c r="L90" s="15">
        <v>-1000</v>
      </c>
      <c r="M90" s="10">
        <f>1000/F90*K90</f>
        <v>1067.8571428571429</v>
      </c>
      <c r="N90" s="3">
        <f>(DATE(2006,12,9)-D90)/365</f>
        <v>1.0273972602739727</v>
      </c>
      <c r="O90" s="12">
        <f>(M90-1000)/1000</f>
        <v>6.7857142857142894E-2</v>
      </c>
      <c r="P90" s="12">
        <f>(M90/1000)^(1/N90)-1</f>
        <v>6.5989203541163333E-2</v>
      </c>
      <c r="Q90" s="9" t="s">
        <v>287</v>
      </c>
    </row>
    <row r="91" spans="1:18" x14ac:dyDescent="0.25">
      <c r="A91" t="s">
        <v>92</v>
      </c>
      <c r="B91" t="s">
        <v>93</v>
      </c>
      <c r="C91" t="s">
        <v>10</v>
      </c>
      <c r="D91" s="2">
        <v>38719</v>
      </c>
      <c r="E91" s="13">
        <f t="shared" si="19"/>
        <v>39979.863013698632</v>
      </c>
      <c r="F91" s="3">
        <v>36.840000000000003</v>
      </c>
      <c r="G91" s="3">
        <f t="shared" si="22"/>
        <v>27.144408251900106</v>
      </c>
      <c r="H91" s="3">
        <v>1</v>
      </c>
      <c r="I91" s="3">
        <f>G91*(1.6+4.2)</f>
        <v>157.43756786102063</v>
      </c>
      <c r="J91" s="3">
        <v>0</v>
      </c>
      <c r="K91" s="3">
        <f>'Data (ignore)'!B388</f>
        <v>44.18</v>
      </c>
      <c r="L91" s="15">
        <v>-1000</v>
      </c>
      <c r="M91" s="10">
        <f t="shared" ref="M91:M99" si="23">G91*H91*K91+(I91)+(J91)</f>
        <v>1356.6775244299672</v>
      </c>
      <c r="N91" s="3">
        <f>(DATE(2009,6,15)-D91)/365</f>
        <v>3.452054794520548</v>
      </c>
      <c r="O91" s="12">
        <f t="shared" ref="O91:O99" si="24">(M91-1000)/1000</f>
        <v>0.3566775244299672</v>
      </c>
      <c r="P91" s="12">
        <f t="shared" ref="P91:P99" si="25">(M91/1000)^(1/N91)-1</f>
        <v>9.2386103407245956E-2</v>
      </c>
      <c r="Q91" s="9" t="s">
        <v>288</v>
      </c>
      <c r="R91" t="s">
        <v>155</v>
      </c>
    </row>
    <row r="92" spans="1:18" x14ac:dyDescent="0.25">
      <c r="A92" t="s">
        <v>124</v>
      </c>
      <c r="B92" t="s">
        <v>125</v>
      </c>
      <c r="C92" t="s">
        <v>10</v>
      </c>
      <c r="D92" s="2">
        <v>38723</v>
      </c>
      <c r="E92" s="13">
        <f t="shared" ca="1" si="19"/>
        <v>41624.986301369863</v>
      </c>
      <c r="F92" s="3">
        <v>45.74</v>
      </c>
      <c r="G92" s="3">
        <f t="shared" si="22"/>
        <v>21.862702229995627</v>
      </c>
      <c r="H92" s="3">
        <v>1</v>
      </c>
      <c r="I92" s="3">
        <f>G92*(0.168*4+0.88+0.238*4+0.272*4+0.303*4+0.365*4+0.398*4+0.47*3)</f>
        <v>202.57979886313947</v>
      </c>
      <c r="J92" s="3">
        <v>0</v>
      </c>
      <c r="K92" s="3">
        <f>'Data (ignore)'!B468</f>
        <v>78.5</v>
      </c>
      <c r="L92" s="15">
        <v>-1000</v>
      </c>
      <c r="M92" s="10">
        <f t="shared" si="23"/>
        <v>1918.8019239177963</v>
      </c>
      <c r="N92" s="3">
        <f ca="1">($Z$17-D92)/365</f>
        <v>7.9452054794520546</v>
      </c>
      <c r="O92" s="12">
        <f t="shared" si="24"/>
        <v>0.91880192391779636</v>
      </c>
      <c r="P92" s="12">
        <f t="shared" ca="1" si="25"/>
        <v>8.5482333662716403E-2</v>
      </c>
      <c r="Q92" s="9" t="s">
        <v>289</v>
      </c>
    </row>
    <row r="93" spans="1:18" x14ac:dyDescent="0.25">
      <c r="A93" t="s">
        <v>127</v>
      </c>
      <c r="B93" t="s">
        <v>128</v>
      </c>
      <c r="C93" t="s">
        <v>10</v>
      </c>
      <c r="D93" s="2">
        <v>38779</v>
      </c>
      <c r="E93" s="13">
        <f t="shared" ca="1" si="19"/>
        <v>41624.94794520548</v>
      </c>
      <c r="F93" s="3">
        <f>(41.74+38)/2</f>
        <v>39.870000000000005</v>
      </c>
      <c r="G93" s="3">
        <f t="shared" si="22"/>
        <v>25.081514923501377</v>
      </c>
      <c r="H93" s="3">
        <v>0.15</v>
      </c>
      <c r="I93" s="3">
        <f>G93*H93*(0.08+0.08+0.1+0.08+0.15+0.25+0.275+0.12)</f>
        <v>4.2701279157261105</v>
      </c>
      <c r="J93" s="3">
        <v>0</v>
      </c>
      <c r="K93" s="3">
        <f>'Data (ignore)'!B484</f>
        <v>6.1</v>
      </c>
      <c r="L93" s="15">
        <v>-1000</v>
      </c>
      <c r="M93" s="10">
        <f t="shared" si="23"/>
        <v>27.219714070729868</v>
      </c>
      <c r="N93" s="3">
        <f ca="1">($Z$17-D93)/365</f>
        <v>7.7917808219178086</v>
      </c>
      <c r="O93" s="12">
        <f t="shared" si="24"/>
        <v>-0.97278028592927013</v>
      </c>
      <c r="P93" s="12">
        <f t="shared" ca="1" si="25"/>
        <v>-0.37030189897287635</v>
      </c>
      <c r="Q93" s="9" t="s">
        <v>290</v>
      </c>
      <c r="R93" t="s">
        <v>291</v>
      </c>
    </row>
    <row r="94" spans="1:18" x14ac:dyDescent="0.25">
      <c r="A94" t="s">
        <v>441</v>
      </c>
      <c r="B94" t="s">
        <v>440</v>
      </c>
      <c r="C94" t="s">
        <v>10</v>
      </c>
      <c r="D94" s="2">
        <v>38833</v>
      </c>
      <c r="E94" s="13">
        <f t="shared" si="19"/>
        <v>39086.173287671234</v>
      </c>
      <c r="F94" s="3">
        <v>0.7</v>
      </c>
      <c r="G94" s="3">
        <f t="shared" si="22"/>
        <v>1428.5714285714287</v>
      </c>
      <c r="H94" s="3">
        <v>1</v>
      </c>
      <c r="I94" s="3">
        <v>0</v>
      </c>
      <c r="J94" s="3">
        <v>0</v>
      </c>
      <c r="K94" s="3">
        <v>5</v>
      </c>
      <c r="L94" s="15">
        <v>-1000</v>
      </c>
      <c r="M94" s="10">
        <f t="shared" si="23"/>
        <v>7142.8571428571431</v>
      </c>
      <c r="N94" s="3">
        <f>(DATE(2007,1,4)-D94)/365</f>
        <v>0.69315068493150689</v>
      </c>
      <c r="O94" s="12">
        <f t="shared" si="24"/>
        <v>6.1428571428571432</v>
      </c>
      <c r="P94" s="12">
        <f t="shared" si="25"/>
        <v>16.055742101495703</v>
      </c>
      <c r="Q94" s="9" t="s">
        <v>443</v>
      </c>
    </row>
    <row r="95" spans="1:18" x14ac:dyDescent="0.25">
      <c r="A95" t="s">
        <v>106</v>
      </c>
      <c r="C95" t="s">
        <v>10</v>
      </c>
      <c r="D95" s="2">
        <v>38888</v>
      </c>
      <c r="E95" s="13">
        <f t="shared" si="19"/>
        <v>39506.423287671234</v>
      </c>
      <c r="F95" s="3">
        <v>9.0500000000000007</v>
      </c>
      <c r="G95" s="3">
        <f t="shared" si="22"/>
        <v>110.49723756906076</v>
      </c>
      <c r="H95" s="3">
        <v>1</v>
      </c>
      <c r="I95" s="3">
        <v>0</v>
      </c>
      <c r="J95" s="3">
        <v>0</v>
      </c>
      <c r="K95" s="3">
        <v>14.72</v>
      </c>
      <c r="L95" s="15">
        <v>-1000</v>
      </c>
      <c r="M95" s="10">
        <f t="shared" si="23"/>
        <v>1626.5193370165744</v>
      </c>
      <c r="N95" s="3">
        <f>(DATE(2008,2,28)-D95)/365</f>
        <v>1.6931506849315068</v>
      </c>
      <c r="O95" s="12">
        <f t="shared" si="24"/>
        <v>0.62651933701657436</v>
      </c>
      <c r="P95" s="12">
        <f t="shared" si="25"/>
        <v>0.332824129652183</v>
      </c>
      <c r="Q95" s="9" t="s">
        <v>430</v>
      </c>
    </row>
    <row r="96" spans="1:18" x14ac:dyDescent="0.25">
      <c r="A96" t="s">
        <v>441</v>
      </c>
      <c r="B96" t="s">
        <v>440</v>
      </c>
      <c r="C96" t="s">
        <v>10</v>
      </c>
      <c r="D96" s="2">
        <v>38933</v>
      </c>
      <c r="E96" s="13">
        <f t="shared" si="19"/>
        <v>39086.10479452055</v>
      </c>
      <c r="F96" s="3">
        <v>0.36</v>
      </c>
      <c r="G96" s="3">
        <f t="shared" si="22"/>
        <v>2777.7777777777778</v>
      </c>
      <c r="H96" s="3">
        <v>1</v>
      </c>
      <c r="I96" s="3">
        <v>0</v>
      </c>
      <c r="J96" s="3">
        <v>0</v>
      </c>
      <c r="K96" s="3">
        <v>5</v>
      </c>
      <c r="L96" s="15">
        <v>-1000</v>
      </c>
      <c r="M96" s="10">
        <f t="shared" si="23"/>
        <v>13888.888888888889</v>
      </c>
      <c r="N96" s="3">
        <f>(DATE(2007,1,4)-D96)/365</f>
        <v>0.41917808219178082</v>
      </c>
      <c r="O96" s="12">
        <f t="shared" si="24"/>
        <v>12.888888888888889</v>
      </c>
      <c r="P96" s="12">
        <f t="shared" si="25"/>
        <v>531.07333592845271</v>
      </c>
      <c r="Q96" s="9" t="s">
        <v>442</v>
      </c>
    </row>
    <row r="97" spans="1:18" x14ac:dyDescent="0.25">
      <c r="A97" t="s">
        <v>129</v>
      </c>
      <c r="B97" t="s">
        <v>130</v>
      </c>
      <c r="C97" t="s">
        <v>10</v>
      </c>
      <c r="D97" s="2">
        <v>38957</v>
      </c>
      <c r="E97" s="13">
        <f t="shared" ca="1" si="19"/>
        <v>41624.826027397263</v>
      </c>
      <c r="F97" s="3">
        <v>34.950000000000003</v>
      </c>
      <c r="G97" s="3">
        <f t="shared" si="22"/>
        <v>28.612303290414875</v>
      </c>
      <c r="H97" s="3">
        <v>1</v>
      </c>
      <c r="I97" s="3">
        <f>G97*(0.405+0.405+0.405+1.313+0.43+0.43+0.43+0.43+0.17+0.46+0.46+0.46+0.46+0.475+0.475+0.475+0.475+0.488+0.488+0.487+0.487+0.5+0.5+0.5+0.5+0.515*4+0.53)</f>
        <v>420.5436337625178</v>
      </c>
      <c r="J97" s="3">
        <v>0</v>
      </c>
      <c r="K97" s="3">
        <f>'Data (ignore)'!B500</f>
        <v>48.13</v>
      </c>
      <c r="L97" s="15">
        <v>-1000</v>
      </c>
      <c r="M97" s="10">
        <f t="shared" si="23"/>
        <v>1797.6537911301859</v>
      </c>
      <c r="N97" s="3">
        <f ca="1">($Z$17-D97)/365</f>
        <v>7.3041095890410963</v>
      </c>
      <c r="O97" s="12">
        <f t="shared" si="24"/>
        <v>0.79765379113018597</v>
      </c>
      <c r="P97" s="12">
        <f t="shared" ca="1" si="25"/>
        <v>8.3606519210374541E-2</v>
      </c>
      <c r="Q97" s="9" t="s">
        <v>293</v>
      </c>
    </row>
    <row r="98" spans="1:18" x14ac:dyDescent="0.25">
      <c r="A98" t="s">
        <v>106</v>
      </c>
      <c r="C98" t="s">
        <v>10</v>
      </c>
      <c r="D98" s="2">
        <v>39156</v>
      </c>
      <c r="E98" s="13">
        <f t="shared" ca="1" si="19"/>
        <v>41624.689726027398</v>
      </c>
      <c r="F98" s="3">
        <v>8.98</v>
      </c>
      <c r="G98" s="3">
        <f t="shared" si="22"/>
        <v>111.35857461024499</v>
      </c>
      <c r="H98" s="3">
        <v>1</v>
      </c>
      <c r="I98" s="3">
        <v>0</v>
      </c>
      <c r="J98" s="3">
        <v>0</v>
      </c>
      <c r="K98" s="3">
        <v>0</v>
      </c>
      <c r="L98" s="15">
        <v>-1000</v>
      </c>
      <c r="M98" s="10">
        <f t="shared" si="23"/>
        <v>0</v>
      </c>
      <c r="N98" s="3">
        <f ca="1">($Z$17-D98)/365</f>
        <v>6.7589041095890412</v>
      </c>
      <c r="O98" s="12">
        <f t="shared" si="24"/>
        <v>-1</v>
      </c>
      <c r="P98" s="12">
        <f t="shared" ca="1" si="25"/>
        <v>-1</v>
      </c>
      <c r="Q98" s="9" t="s">
        <v>432</v>
      </c>
      <c r="R98" t="s">
        <v>431</v>
      </c>
    </row>
    <row r="99" spans="1:18" x14ac:dyDescent="0.25">
      <c r="A99" t="s">
        <v>451</v>
      </c>
      <c r="B99" t="s">
        <v>452</v>
      </c>
      <c r="C99" t="s">
        <v>10</v>
      </c>
      <c r="D99" s="2">
        <v>39248</v>
      </c>
      <c r="E99" s="13">
        <f t="shared" si="19"/>
        <v>40226.669863013696</v>
      </c>
      <c r="F99" s="3">
        <v>0.36</v>
      </c>
      <c r="G99" s="3">
        <f t="shared" si="22"/>
        <v>2777.7777777777778</v>
      </c>
      <c r="H99" s="3">
        <v>1</v>
      </c>
      <c r="I99" s="3">
        <v>0</v>
      </c>
      <c r="J99" s="3">
        <v>0</v>
      </c>
      <c r="K99" s="3">
        <v>0.09</v>
      </c>
      <c r="L99" s="15">
        <v>-1000</v>
      </c>
      <c r="M99" s="10">
        <f t="shared" si="23"/>
        <v>250</v>
      </c>
      <c r="N99" s="3">
        <f>(DATE(2010,2,17)-D99)/365</f>
        <v>2.6794520547945204</v>
      </c>
      <c r="O99" s="12">
        <f t="shared" si="24"/>
        <v>-0.75</v>
      </c>
      <c r="P99" s="12">
        <f t="shared" si="25"/>
        <v>-0.40391964510209155</v>
      </c>
      <c r="Q99" s="9" t="s">
        <v>453</v>
      </c>
      <c r="R99" t="s">
        <v>505</v>
      </c>
    </row>
    <row r="100" spans="1:18" x14ac:dyDescent="0.25">
      <c r="A100" t="s">
        <v>447</v>
      </c>
      <c r="B100" t="s">
        <v>444</v>
      </c>
      <c r="C100" t="s">
        <v>10</v>
      </c>
      <c r="D100" s="2">
        <v>39288</v>
      </c>
      <c r="E100" s="13">
        <f t="shared" ca="1" si="19"/>
        <v>41624.599315068495</v>
      </c>
      <c r="F100" s="3">
        <v>1.47</v>
      </c>
      <c r="G100" s="3">
        <f t="shared" si="22"/>
        <v>680.27210884353747</v>
      </c>
      <c r="H100" s="3">
        <v>1</v>
      </c>
      <c r="I100" s="3">
        <v>0</v>
      </c>
      <c r="J100" s="3">
        <v>0</v>
      </c>
      <c r="K100" s="3">
        <v>0</v>
      </c>
      <c r="L100" s="15">
        <v>-1000</v>
      </c>
      <c r="M100" s="10">
        <v>0</v>
      </c>
      <c r="N100" s="3">
        <f t="shared" ref="N100:N106" ca="1" si="26">($Z$17-D100)/365</f>
        <v>6.397260273972603</v>
      </c>
      <c r="O100" s="12">
        <f>(M100-1000)/1000</f>
        <v>-1</v>
      </c>
      <c r="P100" s="12">
        <f ca="1">(M100/1000)^(1/N100)-1</f>
        <v>-1</v>
      </c>
      <c r="Q100" s="9" t="s">
        <v>445</v>
      </c>
      <c r="R100" t="s">
        <v>446</v>
      </c>
    </row>
    <row r="101" spans="1:18" x14ac:dyDescent="0.25">
      <c r="A101" t="s">
        <v>294</v>
      </c>
      <c r="B101" t="s">
        <v>428</v>
      </c>
      <c r="C101" t="s">
        <v>10</v>
      </c>
      <c r="D101" s="2">
        <v>39367</v>
      </c>
      <c r="E101" s="13">
        <f t="shared" ca="1" si="19"/>
        <v>41624.545205479451</v>
      </c>
      <c r="F101" s="3">
        <v>8.1999999999999993</v>
      </c>
      <c r="G101" s="3">
        <f t="shared" si="22"/>
        <v>121.95121951219514</v>
      </c>
      <c r="H101" s="3">
        <v>1</v>
      </c>
      <c r="I101" s="3">
        <v>0</v>
      </c>
      <c r="J101" s="3">
        <v>0</v>
      </c>
      <c r="K101" s="3">
        <v>0</v>
      </c>
      <c r="L101" s="15">
        <v>-1000</v>
      </c>
      <c r="M101" s="10">
        <v>0</v>
      </c>
      <c r="N101" s="3">
        <f t="shared" ca="1" si="26"/>
        <v>6.1808219178082195</v>
      </c>
      <c r="O101" s="12">
        <f>(M101-1000)/1000</f>
        <v>-1</v>
      </c>
      <c r="P101" s="12">
        <f ca="1">(M101/1000)^(1/N101)-1</f>
        <v>-1</v>
      </c>
      <c r="Q101" s="9" t="s">
        <v>429</v>
      </c>
    </row>
    <row r="102" spans="1:18" x14ac:dyDescent="0.25">
      <c r="A102" t="s">
        <v>294</v>
      </c>
      <c r="B102" t="s">
        <v>134</v>
      </c>
      <c r="C102" t="s">
        <v>10</v>
      </c>
      <c r="D102" s="2">
        <v>39374</v>
      </c>
      <c r="E102" s="13">
        <f t="shared" ca="1" si="19"/>
        <v>41624.540410958907</v>
      </c>
      <c r="F102" s="3">
        <v>30</v>
      </c>
      <c r="G102" s="3">
        <f t="shared" si="22"/>
        <v>33.333333333333336</v>
      </c>
      <c r="H102" s="3">
        <v>1</v>
      </c>
      <c r="I102" s="3">
        <v>0</v>
      </c>
      <c r="J102" s="3">
        <v>0</v>
      </c>
      <c r="K102" s="3">
        <v>0</v>
      </c>
      <c r="L102" s="15">
        <v>-1000</v>
      </c>
      <c r="M102" s="10">
        <f>1000/F102*K102</f>
        <v>0</v>
      </c>
      <c r="N102" s="3">
        <f t="shared" ca="1" si="26"/>
        <v>6.161643835616438</v>
      </c>
      <c r="O102" s="12">
        <f>(M102-1000)/1000</f>
        <v>-1</v>
      </c>
      <c r="P102" s="12">
        <f ca="1">(M102/1000)^(1/N102)-1</f>
        <v>-1</v>
      </c>
      <c r="Q102" s="9" t="s">
        <v>427</v>
      </c>
    </row>
    <row r="103" spans="1:18" x14ac:dyDescent="0.25">
      <c r="A103" t="s">
        <v>135</v>
      </c>
      <c r="B103" t="s">
        <v>253</v>
      </c>
      <c r="C103" t="s">
        <v>10</v>
      </c>
      <c r="D103" s="2">
        <v>39394</v>
      </c>
      <c r="E103" s="13">
        <f t="shared" ca="1" si="19"/>
        <v>41624.52671232877</v>
      </c>
      <c r="F103" s="3">
        <v>24.1</v>
      </c>
      <c r="G103" s="3">
        <f t="shared" si="22"/>
        <v>41.493775933609953</v>
      </c>
      <c r="H103" s="3">
        <v>1</v>
      </c>
      <c r="I103" s="3">
        <f>G103*(2.7+0.1+0.1+0.1+0.32+0.2+0.1+0.1+0.22+0.1+0.1+0.1+0.42+0.3+0.23+0.23)</f>
        <v>224.89626556016597</v>
      </c>
      <c r="J103" s="3">
        <v>0</v>
      </c>
      <c r="K103" s="3">
        <f>'Data (ignore)'!B516</f>
        <v>28.97</v>
      </c>
      <c r="L103" s="15">
        <v>-1000</v>
      </c>
      <c r="M103" s="10">
        <f>G103*H103*K103+(I103)+(J103)</f>
        <v>1426.9709543568463</v>
      </c>
      <c r="N103" s="3">
        <f t="shared" ca="1" si="26"/>
        <v>6.1068493150684935</v>
      </c>
      <c r="O103" s="12">
        <f t="shared" ref="O103:O118" si="27">(M103-1000)/1000</f>
        <v>0.42697095435684629</v>
      </c>
      <c r="P103" s="12">
        <f t="shared" ref="P103:P118" ca="1" si="28">(M103/1000)^(1/N103)-1</f>
        <v>5.9950452664742082E-2</v>
      </c>
      <c r="Q103" s="9" t="s">
        <v>295</v>
      </c>
    </row>
    <row r="104" spans="1:18" x14ac:dyDescent="0.25">
      <c r="A104" t="s">
        <v>448</v>
      </c>
      <c r="B104" t="s">
        <v>449</v>
      </c>
      <c r="C104" t="s">
        <v>10</v>
      </c>
      <c r="D104" s="2">
        <v>39409</v>
      </c>
      <c r="E104" s="13">
        <f t="shared" ca="1" si="19"/>
        <v>41624.516438356164</v>
      </c>
      <c r="F104" s="3">
        <v>0.92</v>
      </c>
      <c r="G104" s="3">
        <f t="shared" si="22"/>
        <v>1086.9565217391305</v>
      </c>
      <c r="H104" s="3">
        <v>1</v>
      </c>
      <c r="I104" s="3">
        <v>0</v>
      </c>
      <c r="J104" s="3">
        <v>0</v>
      </c>
      <c r="K104" s="3">
        <f>'Data (ignore)'!B532</f>
        <v>2.63</v>
      </c>
      <c r="L104" s="15">
        <v>-1000</v>
      </c>
      <c r="M104" s="10">
        <f>G104*H104*K104+(I104)+(J104)</f>
        <v>2858.695652173913</v>
      </c>
      <c r="N104" s="3">
        <f t="shared" ca="1" si="26"/>
        <v>6.065753424657534</v>
      </c>
      <c r="O104" s="12">
        <f>(M104-1000)/1000</f>
        <v>1.8586956521739131</v>
      </c>
      <c r="P104" s="12">
        <f ca="1">(M104/1000)^(1/N104)-1</f>
        <v>0.18906017948468001</v>
      </c>
      <c r="Q104" s="9" t="s">
        <v>450</v>
      </c>
    </row>
    <row r="105" spans="1:18" x14ac:dyDescent="0.25">
      <c r="A105" t="s">
        <v>294</v>
      </c>
      <c r="B105" t="s">
        <v>134</v>
      </c>
      <c r="C105" t="s">
        <v>10</v>
      </c>
      <c r="D105" s="2">
        <v>39412</v>
      </c>
      <c r="E105" s="13">
        <f t="shared" ca="1" si="19"/>
        <v>41624.514383561647</v>
      </c>
      <c r="F105" s="3">
        <v>16</v>
      </c>
      <c r="G105" s="3">
        <f t="shared" si="22"/>
        <v>62.5</v>
      </c>
      <c r="H105" s="3">
        <v>1</v>
      </c>
      <c r="I105" s="3">
        <v>0</v>
      </c>
      <c r="J105" s="3">
        <v>0</v>
      </c>
      <c r="K105" s="3">
        <v>0</v>
      </c>
      <c r="L105" s="15">
        <v>-1000</v>
      </c>
      <c r="M105" s="10">
        <f>G105*H105*K105+(I105)+(J105)</f>
        <v>0</v>
      </c>
      <c r="N105" s="3">
        <f t="shared" ca="1" si="26"/>
        <v>6.0575342465753428</v>
      </c>
      <c r="O105" s="12">
        <f t="shared" si="27"/>
        <v>-1</v>
      </c>
      <c r="P105" s="12">
        <f t="shared" ca="1" si="28"/>
        <v>-1</v>
      </c>
      <c r="Q105" s="9" t="s">
        <v>426</v>
      </c>
    </row>
    <row r="106" spans="1:18" x14ac:dyDescent="0.25">
      <c r="A106" t="s">
        <v>136</v>
      </c>
      <c r="B106" t="s">
        <v>137</v>
      </c>
      <c r="C106" t="s">
        <v>10</v>
      </c>
      <c r="D106" s="2">
        <v>39489</v>
      </c>
      <c r="E106" s="13">
        <f t="shared" ca="1" si="19"/>
        <v>41624.461643835617</v>
      </c>
      <c r="F106" s="3">
        <v>11.26</v>
      </c>
      <c r="G106" s="3">
        <f t="shared" si="22"/>
        <v>88.80994671403198</v>
      </c>
      <c r="H106" s="3">
        <v>1</v>
      </c>
      <c r="I106" s="3">
        <v>0</v>
      </c>
      <c r="J106" s="3">
        <v>0</v>
      </c>
      <c r="K106" s="3">
        <v>0</v>
      </c>
      <c r="L106" s="15">
        <v>-1000</v>
      </c>
      <c r="M106" s="10">
        <f>1000/F106*K106</f>
        <v>0</v>
      </c>
      <c r="N106" s="3">
        <f t="shared" ca="1" si="26"/>
        <v>5.8465753424657532</v>
      </c>
      <c r="O106" s="12">
        <f t="shared" si="27"/>
        <v>-1</v>
      </c>
      <c r="P106" s="12">
        <f t="shared" ca="1" si="28"/>
        <v>-1</v>
      </c>
      <c r="Q106" s="9" t="s">
        <v>406</v>
      </c>
    </row>
    <row r="107" spans="1:18" x14ac:dyDescent="0.25">
      <c r="A107" t="s">
        <v>139</v>
      </c>
      <c r="B107" t="s">
        <v>297</v>
      </c>
      <c r="C107" t="s">
        <v>10</v>
      </c>
      <c r="D107" s="2">
        <v>39554</v>
      </c>
      <c r="E107" s="13">
        <f t="shared" si="19"/>
        <v>39772.149315068491</v>
      </c>
      <c r="F107" s="3">
        <v>86.78</v>
      </c>
      <c r="G107" s="3">
        <f t="shared" si="22"/>
        <v>11.523392486748099</v>
      </c>
      <c r="H107" s="3">
        <v>1</v>
      </c>
      <c r="I107" s="3">
        <f>G107*(0.226+0.26)+G107/2*18.07</f>
        <v>109.71421986632865</v>
      </c>
      <c r="J107" s="3">
        <v>0</v>
      </c>
      <c r="K107" s="3">
        <f>(176+140)/2</f>
        <v>158</v>
      </c>
      <c r="L107" s="15">
        <v>-1000</v>
      </c>
      <c r="M107" s="10">
        <f>G107*H107*K107+(I107)+(J107)</f>
        <v>1930.4102327725284</v>
      </c>
      <c r="N107" s="3">
        <f>((DATE(2008,10,10)+DATE(2008,12,31))/2-D107)/365</f>
        <v>0.59726027397260273</v>
      </c>
      <c r="O107" s="12">
        <f t="shared" si="27"/>
        <v>0.93041023277252843</v>
      </c>
      <c r="P107" s="12">
        <f t="shared" si="28"/>
        <v>2.0079218644231949</v>
      </c>
      <c r="Q107" s="9" t="s">
        <v>296</v>
      </c>
      <c r="R107" t="s">
        <v>145</v>
      </c>
    </row>
    <row r="108" spans="1:18" x14ac:dyDescent="0.25">
      <c r="A108" t="s">
        <v>138</v>
      </c>
      <c r="B108" t="s">
        <v>298</v>
      </c>
      <c r="C108" t="s">
        <v>10</v>
      </c>
      <c r="D108" s="2">
        <v>39568</v>
      </c>
      <c r="E108" s="13">
        <f t="shared" si="19"/>
        <v>40087.355479452053</v>
      </c>
      <c r="F108" s="3">
        <v>4.18</v>
      </c>
      <c r="G108" s="3">
        <f t="shared" si="22"/>
        <v>239.23444976076556</v>
      </c>
      <c r="H108" s="3">
        <v>1</v>
      </c>
      <c r="I108" s="3">
        <v>0</v>
      </c>
      <c r="J108" s="3">
        <v>0</v>
      </c>
      <c r="K108" s="3">
        <f>(4.88+5.12)/2</f>
        <v>5</v>
      </c>
      <c r="L108" s="15">
        <v>-1000</v>
      </c>
      <c r="M108" s="10">
        <f>G108*H108*K108+(I108)+(J108)</f>
        <v>1196.1722488038279</v>
      </c>
      <c r="N108" s="3">
        <f>(DATE(2009,10,1)-D108)/365</f>
        <v>1.4219178082191781</v>
      </c>
      <c r="O108" s="12">
        <f t="shared" si="27"/>
        <v>0.19617224880382786</v>
      </c>
      <c r="P108" s="12">
        <f t="shared" si="28"/>
        <v>0.13425426627395431</v>
      </c>
      <c r="Q108" s="9" t="s">
        <v>299</v>
      </c>
      <c r="R108" t="s">
        <v>162</v>
      </c>
    </row>
    <row r="109" spans="1:18" x14ac:dyDescent="0.25">
      <c r="A109" t="s">
        <v>136</v>
      </c>
      <c r="B109" t="s">
        <v>137</v>
      </c>
      <c r="C109" t="s">
        <v>10</v>
      </c>
      <c r="D109" s="2">
        <v>39575</v>
      </c>
      <c r="E109" s="13">
        <f t="shared" ca="1" si="19"/>
        <v>41624.402739726029</v>
      </c>
      <c r="F109" s="3">
        <v>6.89</v>
      </c>
      <c r="G109" s="3">
        <f t="shared" si="22"/>
        <v>145.1378809869376</v>
      </c>
      <c r="H109" s="3">
        <v>1</v>
      </c>
      <c r="I109" s="3">
        <v>0</v>
      </c>
      <c r="J109" s="3">
        <v>0</v>
      </c>
      <c r="K109" s="3">
        <v>0</v>
      </c>
      <c r="L109" s="15">
        <v>-1000</v>
      </c>
      <c r="M109" s="10">
        <f>1000/F109*K109</f>
        <v>0</v>
      </c>
      <c r="N109" s="3">
        <f t="shared" ref="N109:N115" ca="1" si="29">($Z$17-D109)/365</f>
        <v>5.6109589041095891</v>
      </c>
      <c r="O109" s="12">
        <f t="shared" si="27"/>
        <v>-1</v>
      </c>
      <c r="P109" s="12">
        <f t="shared" ca="1" si="28"/>
        <v>-1</v>
      </c>
      <c r="Q109" s="9" t="s">
        <v>407</v>
      </c>
    </row>
    <row r="110" spans="1:18" x14ac:dyDescent="0.25">
      <c r="A110" t="s">
        <v>457</v>
      </c>
      <c r="B110" t="s">
        <v>458</v>
      </c>
      <c r="C110" t="s">
        <v>10</v>
      </c>
      <c r="D110" s="2">
        <v>39645</v>
      </c>
      <c r="E110" s="13">
        <f t="shared" ca="1" si="19"/>
        <v>41624.35479452055</v>
      </c>
      <c r="F110" s="3">
        <v>97.68</v>
      </c>
      <c r="G110" s="3">
        <f t="shared" si="22"/>
        <v>10.237510237510238</v>
      </c>
      <c r="H110" s="3">
        <v>1</v>
      </c>
      <c r="I110" s="3">
        <f>G110*(0.507+0.393+0.345+0.234+0.216+0.182+0.125+0.126+0.123+0.138+0.142+0.142+0.149+0.175+0.2+0.218+0.204+0.238+0.251+0.256+0.243+0.284+0.28+0.294+0.301+0.349+0.329+0.301+0.341+0.353+0.361+0.347+0.371+0.363+0.314+0.367+0.318+0.312+0.318+0.304+0.316+0.306+0.263+0.254+0.255+0.243+0.239+0.205+0.196+0.175+0.187+0.182+0.162+0.15+0.149+0.133+0.13+0.133+0.122)</f>
        <v>149.61097461097467</v>
      </c>
      <c r="J110" s="3">
        <v>0</v>
      </c>
      <c r="K110" s="3">
        <f>'Data (ignore)'!B566</f>
        <v>89.34</v>
      </c>
      <c r="L110" s="15">
        <v>-1000</v>
      </c>
      <c r="M110" s="10">
        <f t="shared" ref="M110:M118" si="30">G110*H110*K110+(I110)+(J110)</f>
        <v>1064.2301392301392</v>
      </c>
      <c r="N110" s="3">
        <f t="shared" ca="1" si="29"/>
        <v>5.419178082191781</v>
      </c>
      <c r="O110" s="12">
        <f>(M110-1000)/1000</f>
        <v>6.4230139230139233E-2</v>
      </c>
      <c r="P110" s="12">
        <f ca="1">(M110/1000)^(1/N110)-1</f>
        <v>1.1553521089470387E-2</v>
      </c>
      <c r="Q110" s="9" t="s">
        <v>459</v>
      </c>
    </row>
    <row r="111" spans="1:18" x14ac:dyDescent="0.25">
      <c r="A111" t="s">
        <v>460</v>
      </c>
      <c r="B111" t="s">
        <v>464</v>
      </c>
      <c r="C111" t="s">
        <v>10</v>
      </c>
      <c r="D111" s="2">
        <v>39645</v>
      </c>
      <c r="E111" s="13">
        <f t="shared" ca="1" si="19"/>
        <v>41624.35479452055</v>
      </c>
      <c r="F111" s="3">
        <v>99.97</v>
      </c>
      <c r="G111" s="3">
        <f t="shared" si="22"/>
        <v>10.003000900270081</v>
      </c>
      <c r="H111" s="3">
        <v>1</v>
      </c>
      <c r="I111">
        <f>G111*(0.178+0.179+0.281+0.092+0.068+0.023+0.003+0.003+0.008+0.009+0.009+0.008+0.009+0.011+0.014+0.019+0.012+0.014+0.018+0.016+0.013+0.009+0.008+0.009+0.008+0.016+0.015+0.011+0.006+0.008+0.011+0.011+0.011+0.015+0.015+0.018+0.017+0.018+0.018+0.02+0.017+0.02)</f>
        <v>12.683805141542456</v>
      </c>
      <c r="J111" s="3">
        <v>0</v>
      </c>
      <c r="K111" s="3">
        <f>'Data (ignore)'!B584</f>
        <v>93.44</v>
      </c>
      <c r="L111" s="15">
        <v>-1000</v>
      </c>
      <c r="M111" s="10">
        <f t="shared" si="30"/>
        <v>947.36420926277879</v>
      </c>
      <c r="N111" s="3">
        <f t="shared" ca="1" si="29"/>
        <v>5.419178082191781</v>
      </c>
      <c r="O111" s="12">
        <f>(M111-1000)/1000</f>
        <v>-5.2635790737221216E-2</v>
      </c>
      <c r="P111" s="12">
        <f ca="1">(M111/1000)^(1/N111)-1</f>
        <v>-9.9282219766706481E-3</v>
      </c>
      <c r="Q111" s="9" t="s">
        <v>459</v>
      </c>
    </row>
    <row r="112" spans="1:18" x14ac:dyDescent="0.25">
      <c r="A112" t="s">
        <v>461</v>
      </c>
      <c r="B112" t="s">
        <v>465</v>
      </c>
      <c r="C112" t="s">
        <v>10</v>
      </c>
      <c r="D112" s="2">
        <v>39645</v>
      </c>
      <c r="E112" s="13">
        <f t="shared" ca="1" si="19"/>
        <v>41624.35479452055</v>
      </c>
      <c r="F112" s="3">
        <v>158.44999999999999</v>
      </c>
      <c r="G112" s="3">
        <f>1000/F112</f>
        <v>6.3111391606184917</v>
      </c>
      <c r="H112" s="3">
        <v>1</v>
      </c>
      <c r="I112" s="3">
        <f>G112*(0.474+0.423+0.08+0.264+0.215+0.13+0.059+0.045+0.021+0.012+0.002+0.009+0.001+0.041+0.045+0.056+0.042+0.029+0.037+0.038+0.013)</f>
        <v>12.849479331019246</v>
      </c>
      <c r="J112" s="3">
        <v>0</v>
      </c>
      <c r="K112" s="3">
        <f>'Data (ignore)'!B602</f>
        <v>135.99</v>
      </c>
      <c r="L112" s="15">
        <v>-1000</v>
      </c>
      <c r="M112" s="10">
        <f t="shared" si="30"/>
        <v>871.10129378352792</v>
      </c>
      <c r="N112" s="3">
        <f t="shared" ca="1" si="29"/>
        <v>5.419178082191781</v>
      </c>
      <c r="O112" s="12">
        <f>(M112-1000)/1000</f>
        <v>-0.12889870621647209</v>
      </c>
      <c r="P112" s="12">
        <f ca="1">(M112/1000)^(1/N112)-1</f>
        <v>-2.514307766467494E-2</v>
      </c>
      <c r="Q112" s="9" t="s">
        <v>459</v>
      </c>
    </row>
    <row r="113" spans="1:18" x14ac:dyDescent="0.25">
      <c r="A113" t="s">
        <v>462</v>
      </c>
      <c r="B113" t="s">
        <v>466</v>
      </c>
      <c r="C113" t="s">
        <v>10</v>
      </c>
      <c r="D113" s="2">
        <v>39645</v>
      </c>
      <c r="E113" s="13">
        <f t="shared" ca="1" si="19"/>
        <v>41624.35479452055</v>
      </c>
      <c r="F113" s="3">
        <v>98.4</v>
      </c>
      <c r="G113" s="3">
        <f>1000/F113</f>
        <v>10.16260162601626</v>
      </c>
      <c r="H113" s="3">
        <v>1</v>
      </c>
      <c r="I113" s="3">
        <f>G113*(0.092+0.092+0.104)</f>
        <v>2.9268292682926824</v>
      </c>
      <c r="J113" s="3">
        <v>0</v>
      </c>
      <c r="K113" s="3">
        <f>'Data (ignore)'!B620</f>
        <v>110.14</v>
      </c>
      <c r="L113" s="15">
        <v>-1000</v>
      </c>
      <c r="M113" s="10">
        <f t="shared" si="30"/>
        <v>1122.2357723577236</v>
      </c>
      <c r="N113" s="3">
        <f t="shared" ca="1" si="29"/>
        <v>5.419178082191781</v>
      </c>
      <c r="O113" s="12">
        <f>(M113-1000)/1000</f>
        <v>0.12223577235772359</v>
      </c>
      <c r="P113" s="12">
        <f ca="1">(M113/1000)^(1/N113)-1</f>
        <v>2.1508563760448851E-2</v>
      </c>
      <c r="Q113" s="9" t="s">
        <v>459</v>
      </c>
    </row>
    <row r="114" spans="1:18" x14ac:dyDescent="0.25">
      <c r="A114" t="s">
        <v>463</v>
      </c>
      <c r="B114" t="s">
        <v>467</v>
      </c>
      <c r="C114" t="s">
        <v>10</v>
      </c>
      <c r="D114" s="2">
        <v>39645</v>
      </c>
      <c r="E114" s="13">
        <f t="shared" ca="1" si="19"/>
        <v>41624.35479452055</v>
      </c>
      <c r="F114" s="3">
        <v>94.94</v>
      </c>
      <c r="G114" s="3">
        <f>1000/F114</f>
        <v>10.532968190436065</v>
      </c>
      <c r="H114" s="3">
        <v>1</v>
      </c>
      <c r="I114" s="3">
        <v>0</v>
      </c>
      <c r="J114" s="3">
        <v>0</v>
      </c>
      <c r="K114" s="3">
        <f>'Data (ignore)'!B638</f>
        <v>94.58</v>
      </c>
      <c r="L114" s="15">
        <v>-1000</v>
      </c>
      <c r="M114" s="10">
        <f t="shared" si="30"/>
        <v>996.20813145144302</v>
      </c>
      <c r="N114" s="3">
        <f t="shared" ca="1" si="29"/>
        <v>5.419178082191781</v>
      </c>
      <c r="O114" s="12">
        <f>(M114-1000)/1000</f>
        <v>-3.7918685485569766E-3</v>
      </c>
      <c r="P114" s="12">
        <f ca="1">(M114/1000)^(1/N114)-1</f>
        <v>-7.0079715106596829E-4</v>
      </c>
      <c r="Q114" s="9" t="s">
        <v>459</v>
      </c>
    </row>
    <row r="115" spans="1:18" x14ac:dyDescent="0.25">
      <c r="A115" t="s">
        <v>140</v>
      </c>
      <c r="B115" t="s">
        <v>301</v>
      </c>
      <c r="C115" t="s">
        <v>10</v>
      </c>
      <c r="D115" s="2">
        <v>39672</v>
      </c>
      <c r="E115" s="13">
        <f t="shared" ca="1" si="19"/>
        <v>41624.336301369862</v>
      </c>
      <c r="F115" s="3">
        <v>30.45</v>
      </c>
      <c r="G115" s="3">
        <f t="shared" si="22"/>
        <v>32.840722495894909</v>
      </c>
      <c r="H115" s="3">
        <v>0.45629999999999998</v>
      </c>
      <c r="I115" s="3">
        <f>G115*18*0.575+(G115*H115*(1.3+1.32+1.35))</f>
        <v>399.39280788177336</v>
      </c>
      <c r="J115" s="3">
        <v>0</v>
      </c>
      <c r="K115" s="3">
        <f>K119</f>
        <v>78.86</v>
      </c>
      <c r="L115" s="15">
        <v>-1000</v>
      </c>
      <c r="M115" s="10">
        <f t="shared" si="30"/>
        <v>1581.1273891625615</v>
      </c>
      <c r="N115" s="3">
        <f t="shared" ca="1" si="29"/>
        <v>5.3452054794520549</v>
      </c>
      <c r="O115" s="12">
        <f t="shared" si="27"/>
        <v>0.58112738916256146</v>
      </c>
      <c r="P115" s="12">
        <f t="shared" ca="1" si="28"/>
        <v>8.9490446144939728E-2</v>
      </c>
      <c r="Q115" s="9" t="s">
        <v>300</v>
      </c>
      <c r="R115" t="s">
        <v>543</v>
      </c>
    </row>
    <row r="116" spans="1:18" x14ac:dyDescent="0.25">
      <c r="A116" t="s">
        <v>141</v>
      </c>
      <c r="B116" t="s">
        <v>141</v>
      </c>
      <c r="C116" t="s">
        <v>10</v>
      </c>
      <c r="D116" s="2">
        <v>39744</v>
      </c>
      <c r="E116" s="13">
        <f t="shared" si="19"/>
        <v>40022.190410958901</v>
      </c>
      <c r="F116" s="3">
        <v>0.5</v>
      </c>
      <c r="G116" s="3">
        <f t="shared" si="22"/>
        <v>2000</v>
      </c>
      <c r="H116" s="3">
        <v>1</v>
      </c>
      <c r="I116" s="3">
        <v>0</v>
      </c>
      <c r="J116" s="3">
        <v>0</v>
      </c>
      <c r="K116" s="3">
        <v>0.68</v>
      </c>
      <c r="L116" s="15">
        <v>-1000</v>
      </c>
      <c r="M116" s="10">
        <f t="shared" si="30"/>
        <v>1360</v>
      </c>
      <c r="N116" s="3">
        <f>(DATE(2009,7,28)-D116)/365</f>
        <v>0.76164383561643834</v>
      </c>
      <c r="O116" s="12">
        <f t="shared" si="27"/>
        <v>0.36</v>
      </c>
      <c r="P116" s="12">
        <f t="shared" si="28"/>
        <v>0.49737253061911191</v>
      </c>
      <c r="Q116" s="9" t="s">
        <v>319</v>
      </c>
      <c r="R116" t="s">
        <v>153</v>
      </c>
    </row>
    <row r="117" spans="1:18" x14ac:dyDescent="0.25">
      <c r="A117" t="s">
        <v>454</v>
      </c>
      <c r="B117" t="s">
        <v>455</v>
      </c>
      <c r="C117" t="s">
        <v>10</v>
      </c>
      <c r="D117" s="2">
        <v>39744</v>
      </c>
      <c r="E117" s="13">
        <f t="shared" si="19"/>
        <v>40570.565753424657</v>
      </c>
      <c r="F117" s="3">
        <v>0.02</v>
      </c>
      <c r="G117" s="3">
        <f t="shared" si="22"/>
        <v>50000</v>
      </c>
      <c r="H117" s="3">
        <v>1</v>
      </c>
      <c r="I117" s="3">
        <v>0</v>
      </c>
      <c r="J117" s="3">
        <v>0</v>
      </c>
      <c r="K117" s="3">
        <f>(0.75*0.7)+(0.2*1.2)</f>
        <v>0.7649999999999999</v>
      </c>
      <c r="L117" s="15">
        <v>-1000</v>
      </c>
      <c r="M117" s="10">
        <f t="shared" si="30"/>
        <v>38249.999999999993</v>
      </c>
      <c r="N117" s="3">
        <f>(DATE(2011,1,27)-D117)/365</f>
        <v>2.2630136986301368</v>
      </c>
      <c r="O117" s="12">
        <f>(M117-1000)/1000</f>
        <v>37.249999999999993</v>
      </c>
      <c r="P117" s="12">
        <f>(M117/1000)^(1/N117)-1</f>
        <v>4.0043401624476695</v>
      </c>
      <c r="Q117" s="9" t="s">
        <v>319</v>
      </c>
      <c r="R117" t="s">
        <v>456</v>
      </c>
    </row>
    <row r="118" spans="1:18" x14ac:dyDescent="0.25">
      <c r="A118" t="s">
        <v>434</v>
      </c>
      <c r="B118" t="s">
        <v>142</v>
      </c>
      <c r="C118" t="s">
        <v>10</v>
      </c>
      <c r="D118" s="2">
        <v>39792</v>
      </c>
      <c r="E118" s="13">
        <f t="shared" si="19"/>
        <v>40515.495205479448</v>
      </c>
      <c r="F118" s="3">
        <v>11.81</v>
      </c>
      <c r="G118" s="3">
        <f t="shared" si="22"/>
        <v>84.674005080440296</v>
      </c>
      <c r="H118" s="3">
        <v>1</v>
      </c>
      <c r="I118" s="3">
        <v>0</v>
      </c>
      <c r="J118" s="3">
        <v>0</v>
      </c>
      <c r="K118" s="3">
        <v>24.5</v>
      </c>
      <c r="L118" s="15">
        <v>-1000</v>
      </c>
      <c r="M118" s="10">
        <f t="shared" si="30"/>
        <v>2074.5131244707873</v>
      </c>
      <c r="N118" s="3">
        <f>(DATE(2010,12,3)-D118)/365</f>
        <v>1.9808219178082191</v>
      </c>
      <c r="O118" s="12">
        <f t="shared" si="27"/>
        <v>1.0745131244707873</v>
      </c>
      <c r="P118" s="12">
        <f t="shared" si="28"/>
        <v>0.44541402959620857</v>
      </c>
      <c r="Q118" s="9" t="s">
        <v>433</v>
      </c>
    </row>
    <row r="119" spans="1:18" x14ac:dyDescent="0.25">
      <c r="A119" t="s">
        <v>140</v>
      </c>
      <c r="B119" t="s">
        <v>301</v>
      </c>
      <c r="C119" t="s">
        <v>10</v>
      </c>
      <c r="D119" s="2">
        <v>39800</v>
      </c>
      <c r="E119" s="13">
        <f t="shared" ca="1" si="19"/>
        <v>41624.248630136986</v>
      </c>
      <c r="F119" s="3">
        <v>10.24</v>
      </c>
      <c r="G119" s="3">
        <f t="shared" si="22"/>
        <v>97.65625</v>
      </c>
      <c r="H119" s="3">
        <v>0.45629999999999998</v>
      </c>
      <c r="I119" s="3">
        <f>G119*17*0.575+(G119*H119*(1.3+1.32+1.35))</f>
        <v>1131.4952148437499</v>
      </c>
      <c r="J119" s="3">
        <v>0</v>
      </c>
      <c r="K119" s="3">
        <f>'Data (ignore)'!B656</f>
        <v>78.86</v>
      </c>
      <c r="L119" s="15">
        <v>-1000</v>
      </c>
      <c r="M119" s="10">
        <f t="shared" ref="M119:M124" si="31">G119*H119*K119+(I119)+(J119)</f>
        <v>4645.5399414062495</v>
      </c>
      <c r="N119" s="3">
        <f ca="1">($Z$17-D119)/365</f>
        <v>4.9945205479452053</v>
      </c>
      <c r="O119" s="12">
        <f t="shared" ref="O119:O133" si="32">(M119-1000)/1000</f>
        <v>3.6455399414062493</v>
      </c>
      <c r="P119" s="12">
        <f t="shared" ref="P119:P133" ca="1" si="33">(M119/1000)^(1/N119)-1</f>
        <v>0.36004600719077184</v>
      </c>
      <c r="Q119" s="9" t="s">
        <v>302</v>
      </c>
    </row>
    <row r="120" spans="1:18" x14ac:dyDescent="0.25">
      <c r="A120" t="s">
        <v>143</v>
      </c>
      <c r="B120" t="s">
        <v>303</v>
      </c>
      <c r="C120" t="s">
        <v>10</v>
      </c>
      <c r="D120" s="2">
        <v>39800</v>
      </c>
      <c r="E120" s="13">
        <f t="shared" si="19"/>
        <v>39828.019178082192</v>
      </c>
      <c r="F120" s="3">
        <v>84.65</v>
      </c>
      <c r="G120" s="3">
        <f t="shared" si="22"/>
        <v>11.813349084465445</v>
      </c>
      <c r="H120" s="3">
        <v>1</v>
      </c>
      <c r="I120" s="3">
        <f>G120*11.49</f>
        <v>135.73538098050795</v>
      </c>
      <c r="J120" s="3">
        <v>0</v>
      </c>
      <c r="K120" s="3">
        <v>79.73</v>
      </c>
      <c r="L120" s="15">
        <v>-1000</v>
      </c>
      <c r="M120" s="10">
        <f t="shared" si="31"/>
        <v>1077.613703484938</v>
      </c>
      <c r="N120" s="3">
        <f>(DATE(2009,1,15)-D120)/365</f>
        <v>7.6712328767123292E-2</v>
      </c>
      <c r="O120" s="12">
        <f t="shared" si="32"/>
        <v>7.7613703484938013E-2</v>
      </c>
      <c r="P120" s="12">
        <f t="shared" si="33"/>
        <v>1.6495966597330667</v>
      </c>
      <c r="Q120" s="9" t="s">
        <v>302</v>
      </c>
      <c r="R120" t="s">
        <v>146</v>
      </c>
    </row>
    <row r="121" spans="1:18" x14ac:dyDescent="0.25">
      <c r="A121" t="s">
        <v>144</v>
      </c>
      <c r="B121" t="s">
        <v>304</v>
      </c>
      <c r="C121" t="s">
        <v>10</v>
      </c>
      <c r="D121" s="2">
        <v>39812</v>
      </c>
      <c r="E121" s="13">
        <f t="shared" si="19"/>
        <v>39953.096575342468</v>
      </c>
      <c r="F121" s="3">
        <v>35.85</v>
      </c>
      <c r="G121" s="3">
        <f t="shared" si="22"/>
        <v>27.894002789400279</v>
      </c>
      <c r="H121" s="3">
        <v>1</v>
      </c>
      <c r="I121" s="3">
        <v>0</v>
      </c>
      <c r="J121" s="3">
        <v>0</v>
      </c>
      <c r="K121" s="3">
        <v>49.95</v>
      </c>
      <c r="L121" s="15">
        <v>-1000</v>
      </c>
      <c r="M121" s="10">
        <f t="shared" si="31"/>
        <v>1393.305439330544</v>
      </c>
      <c r="N121" s="3">
        <f>(DATE(2009,5,20)-D121)/365</f>
        <v>0.38630136986301372</v>
      </c>
      <c r="O121" s="12">
        <f t="shared" si="32"/>
        <v>0.39330543933054402</v>
      </c>
      <c r="P121" s="12">
        <f t="shared" si="33"/>
        <v>1.3598581381959947</v>
      </c>
      <c r="Q121" s="9" t="s">
        <v>305</v>
      </c>
      <c r="R121" t="s">
        <v>152</v>
      </c>
    </row>
    <row r="122" spans="1:18" x14ac:dyDescent="0.25">
      <c r="A122" t="s">
        <v>178</v>
      </c>
      <c r="B122" t="s">
        <v>306</v>
      </c>
      <c r="C122" t="s">
        <v>10</v>
      </c>
      <c r="D122" s="2">
        <v>39855</v>
      </c>
      <c r="E122" s="13">
        <f t="shared" ca="1" si="19"/>
        <v>41624.210958904107</v>
      </c>
      <c r="F122" s="3">
        <v>13.34</v>
      </c>
      <c r="G122" s="3">
        <f t="shared" si="22"/>
        <v>74.96251874062969</v>
      </c>
      <c r="H122" s="3">
        <v>1</v>
      </c>
      <c r="I122" s="3">
        <v>0</v>
      </c>
      <c r="J122" s="3">
        <v>0</v>
      </c>
      <c r="K122" s="3">
        <f>'Data (ignore)'!B672</f>
        <v>18.809999999999999</v>
      </c>
      <c r="L122" s="15">
        <v>-1000</v>
      </c>
      <c r="M122" s="10">
        <f t="shared" si="31"/>
        <v>1410.0449775112443</v>
      </c>
      <c r="N122" s="3">
        <f ca="1">($Z$17-D122)/365</f>
        <v>4.8438356164383558</v>
      </c>
      <c r="O122" s="12">
        <f t="shared" si="32"/>
        <v>0.41004497751124425</v>
      </c>
      <c r="P122" s="12">
        <f t="shared" ca="1" si="33"/>
        <v>7.3516791694467232E-2</v>
      </c>
      <c r="Q122" s="9" t="s">
        <v>307</v>
      </c>
    </row>
    <row r="123" spans="1:18" x14ac:dyDescent="0.25">
      <c r="A123" t="s">
        <v>170</v>
      </c>
      <c r="B123" t="s">
        <v>308</v>
      </c>
      <c r="C123" t="s">
        <v>10</v>
      </c>
      <c r="D123" s="2">
        <v>39855</v>
      </c>
      <c r="E123" s="13">
        <f t="shared" ca="1" si="19"/>
        <v>41624.210958904107</v>
      </c>
      <c r="F123" s="3">
        <v>92.29</v>
      </c>
      <c r="G123" s="3">
        <f t="shared" si="22"/>
        <v>10.835410120273052</v>
      </c>
      <c r="H123" s="3">
        <v>1</v>
      </c>
      <c r="I123" s="3">
        <v>0</v>
      </c>
      <c r="J123" s="3">
        <v>0</v>
      </c>
      <c r="K123" s="3">
        <f>K140</f>
        <v>118.29</v>
      </c>
      <c r="L123" s="15">
        <v>-1000</v>
      </c>
      <c r="M123" s="10">
        <f t="shared" si="31"/>
        <v>1281.7206631270994</v>
      </c>
      <c r="N123" s="3">
        <f ca="1">($Z$17-D123)/365</f>
        <v>4.8438356164383558</v>
      </c>
      <c r="O123" s="12">
        <f t="shared" si="32"/>
        <v>0.28172066312709942</v>
      </c>
      <c r="P123" s="12">
        <f t="shared" ca="1" si="33"/>
        <v>5.2576634156159541E-2</v>
      </c>
      <c r="Q123" s="9" t="s">
        <v>307</v>
      </c>
    </row>
    <row r="124" spans="1:18" x14ac:dyDescent="0.25">
      <c r="A124" t="s">
        <v>147</v>
      </c>
      <c r="B124" t="s">
        <v>309</v>
      </c>
      <c r="C124" t="s">
        <v>10</v>
      </c>
      <c r="D124" s="2">
        <v>39874</v>
      </c>
      <c r="E124" s="13">
        <f t="shared" ca="1" si="19"/>
        <v>41624.19794520548</v>
      </c>
      <c r="F124" s="3">
        <v>2.33</v>
      </c>
      <c r="G124" s="3">
        <f t="shared" si="22"/>
        <v>429.18454935622316</v>
      </c>
      <c r="H124" s="3">
        <v>1</v>
      </c>
      <c r="I124" s="3">
        <f>G124*(0.017*5+0.021*6+0.25)</f>
        <v>197.85407725321889</v>
      </c>
      <c r="J124" s="3">
        <v>0</v>
      </c>
      <c r="K124" s="3">
        <f>K146</f>
        <v>8.5500000000000007</v>
      </c>
      <c r="L124" s="15">
        <v>-1000</v>
      </c>
      <c r="M124" s="10">
        <f t="shared" si="31"/>
        <v>3867.3819742489272</v>
      </c>
      <c r="N124" s="3">
        <f ca="1">($Z$17-D124)/365</f>
        <v>4.7917808219178086</v>
      </c>
      <c r="O124" s="12">
        <f t="shared" si="32"/>
        <v>2.8673819742489273</v>
      </c>
      <c r="P124" s="12">
        <f t="shared" ca="1" si="33"/>
        <v>0.32613723034240394</v>
      </c>
      <c r="Q124" s="9" t="s">
        <v>310</v>
      </c>
    </row>
    <row r="125" spans="1:18" x14ac:dyDescent="0.25">
      <c r="A125" t="s">
        <v>114</v>
      </c>
      <c r="B125" t="s">
        <v>115</v>
      </c>
      <c r="C125" t="s">
        <v>10</v>
      </c>
      <c r="D125" s="2">
        <v>39884</v>
      </c>
      <c r="E125" s="13">
        <f t="shared" ca="1" si="19"/>
        <v>40768.605479452053</v>
      </c>
      <c r="F125" s="3">
        <v>13.15</v>
      </c>
      <c r="G125" s="3">
        <f t="shared" si="22"/>
        <v>76.045627376425855</v>
      </c>
      <c r="H125" s="3">
        <v>1</v>
      </c>
      <c r="I125" s="3">
        <f>G125*0.18+G125/2*(0.18*11+0.2*5+0.23*2)</f>
        <v>144.48669201520914</v>
      </c>
      <c r="J125" s="3">
        <v>0</v>
      </c>
      <c r="K125" s="3">
        <v>82.8</v>
      </c>
      <c r="L125" s="15">
        <v>-1000</v>
      </c>
      <c r="M125" s="10">
        <f>G125/2*18.83+G125/2*K125+I125</f>
        <v>4008.7452471482884</v>
      </c>
      <c r="N125" s="3">
        <f ca="1">((DATE(2009,4,10)/2+$Z$17/2)-D125)/365</f>
        <v>2.4219178082191779</v>
      </c>
      <c r="O125" s="12">
        <f t="shared" si="32"/>
        <v>3.0087452471482883</v>
      </c>
      <c r="P125" s="12">
        <f t="shared" ca="1" si="33"/>
        <v>0.7741067024484849</v>
      </c>
      <c r="Q125" s="9" t="s">
        <v>311</v>
      </c>
      <c r="R125" t="s">
        <v>150</v>
      </c>
    </row>
    <row r="126" spans="1:18" x14ac:dyDescent="0.25">
      <c r="A126" t="s">
        <v>148</v>
      </c>
      <c r="B126" t="s">
        <v>312</v>
      </c>
      <c r="C126" t="s">
        <v>10</v>
      </c>
      <c r="D126" s="2">
        <v>39884</v>
      </c>
      <c r="E126" s="13">
        <f t="shared" ca="1" si="19"/>
        <v>40768.605479452053</v>
      </c>
      <c r="F126" s="3">
        <v>13.95</v>
      </c>
      <c r="G126" s="3">
        <f t="shared" si="22"/>
        <v>71.68458781362007</v>
      </c>
      <c r="H126" s="3">
        <v>1</v>
      </c>
      <c r="I126" s="3">
        <f>G126/2*(0.05*8+0.12*4+0.22*3+0.25+0.3*3)</f>
        <v>96.415770609318997</v>
      </c>
      <c r="J126" s="3">
        <v>0</v>
      </c>
      <c r="K126" s="3">
        <v>43.54</v>
      </c>
      <c r="L126" s="15">
        <v>-1000</v>
      </c>
      <c r="M126" s="10">
        <f>G126/2*19.67+G126/2*33.03+I126</f>
        <v>1985.3046594982081</v>
      </c>
      <c r="N126" s="3">
        <f ca="1">((DATE(2009,4,10)/2+$Z$17/2)-D126)/365</f>
        <v>2.4219178082191779</v>
      </c>
      <c r="O126" s="12">
        <f t="shared" si="32"/>
        <v>0.98530465949820811</v>
      </c>
      <c r="P126" s="12">
        <f t="shared" ca="1" si="33"/>
        <v>0.32730772576108036</v>
      </c>
      <c r="Q126" s="9" t="s">
        <v>311</v>
      </c>
      <c r="R126" t="s">
        <v>150</v>
      </c>
    </row>
    <row r="127" spans="1:18" x14ac:dyDescent="0.25">
      <c r="A127" t="s">
        <v>149</v>
      </c>
      <c r="B127" t="s">
        <v>313</v>
      </c>
      <c r="C127" t="s">
        <v>10</v>
      </c>
      <c r="D127" s="2">
        <v>39911</v>
      </c>
      <c r="E127" s="13">
        <f t="shared" si="19"/>
        <v>40093.374828767126</v>
      </c>
      <c r="F127" s="3">
        <v>5.47</v>
      </c>
      <c r="G127" s="3">
        <f t="shared" si="22"/>
        <v>182.81535648994517</v>
      </c>
      <c r="H127" s="3">
        <v>1</v>
      </c>
      <c r="I127" s="3">
        <f>G127/4*0.133</f>
        <v>6.0786106032906773</v>
      </c>
      <c r="J127" s="3">
        <v>0</v>
      </c>
      <c r="K127" s="3">
        <v>14.84</v>
      </c>
      <c r="L127" s="15">
        <v>-1000</v>
      </c>
      <c r="M127" s="10">
        <f>G127/2*8.9+G127/4*13.25+G127/4*14.84</f>
        <v>2097.3491773308961</v>
      </c>
      <c r="N127" s="3">
        <f>((DATE(2009,7,2)/2+DATE(2009,10,8)/4+DATE(2010,4,19)/4)-D127)/365</f>
        <v>0.49931506849315066</v>
      </c>
      <c r="O127" s="12">
        <f t="shared" si="32"/>
        <v>1.0973491773308961</v>
      </c>
      <c r="P127" s="12">
        <f t="shared" si="33"/>
        <v>3.4078212943911943</v>
      </c>
      <c r="Q127" s="9" t="s">
        <v>314</v>
      </c>
      <c r="R127" t="s">
        <v>177</v>
      </c>
    </row>
    <row r="128" spans="1:18" x14ac:dyDescent="0.25">
      <c r="A128" t="s">
        <v>151</v>
      </c>
      <c r="B128" t="s">
        <v>315</v>
      </c>
      <c r="C128" t="s">
        <v>10</v>
      </c>
      <c r="D128" s="2">
        <v>39923</v>
      </c>
      <c r="E128" s="13">
        <f t="shared" si="19"/>
        <v>39988.044520547948</v>
      </c>
      <c r="F128" s="3">
        <v>3.97</v>
      </c>
      <c r="G128" s="3">
        <f t="shared" si="22"/>
        <v>251.88916876574305</v>
      </c>
      <c r="H128" s="3">
        <v>1</v>
      </c>
      <c r="I128" s="3">
        <v>0</v>
      </c>
      <c r="J128" s="3">
        <v>0</v>
      </c>
      <c r="K128" s="3">
        <v>11.19</v>
      </c>
      <c r="L128" s="15">
        <v>-1000</v>
      </c>
      <c r="M128" s="10">
        <f>G128*H128*K128+(I128)+(J128)</f>
        <v>2818.6397984886648</v>
      </c>
      <c r="N128" s="3">
        <f>(DATE(2009,6,24)-D128)/365</f>
        <v>0.17808219178082191</v>
      </c>
      <c r="O128" s="12">
        <f t="shared" si="32"/>
        <v>1.8186397984886649</v>
      </c>
      <c r="P128" s="12">
        <f t="shared" si="33"/>
        <v>335.62419862352226</v>
      </c>
      <c r="Q128" s="9" t="s">
        <v>316</v>
      </c>
      <c r="R128" t="s">
        <v>156</v>
      </c>
    </row>
    <row r="129" spans="1:18" x14ac:dyDescent="0.25">
      <c r="A129" t="s">
        <v>154</v>
      </c>
      <c r="B129" t="s">
        <v>317</v>
      </c>
      <c r="C129" t="s">
        <v>10</v>
      </c>
      <c r="D129" s="2">
        <v>39975</v>
      </c>
      <c r="E129" s="13">
        <f t="shared" si="19"/>
        <v>40022.032191780825</v>
      </c>
      <c r="F129" s="3">
        <v>3.32</v>
      </c>
      <c r="G129" s="3">
        <f t="shared" si="22"/>
        <v>301.20481927710847</v>
      </c>
      <c r="H129" s="3">
        <v>1</v>
      </c>
      <c r="I129" s="3">
        <v>0</v>
      </c>
      <c r="J129" s="3">
        <v>0</v>
      </c>
      <c r="K129" s="3">
        <v>5.88</v>
      </c>
      <c r="L129" s="15">
        <v>-1000</v>
      </c>
      <c r="M129" s="10">
        <f>G129*H129*K129+(I129)+(J129)</f>
        <v>1771.0843373493979</v>
      </c>
      <c r="N129" s="3">
        <f>(DATE(2009,7,28)-D129)/365</f>
        <v>0.12876712328767123</v>
      </c>
      <c r="O129" s="12">
        <f t="shared" si="32"/>
        <v>0.77108433734939785</v>
      </c>
      <c r="P129" s="12">
        <f t="shared" si="33"/>
        <v>83.68673566813294</v>
      </c>
      <c r="Q129" s="9" t="s">
        <v>318</v>
      </c>
      <c r="R129" t="s">
        <v>159</v>
      </c>
    </row>
    <row r="130" spans="1:18" x14ac:dyDescent="0.25">
      <c r="A130" t="s">
        <v>157</v>
      </c>
      <c r="B130" t="s">
        <v>320</v>
      </c>
      <c r="C130" t="s">
        <v>10</v>
      </c>
      <c r="D130" s="2">
        <v>40014</v>
      </c>
      <c r="E130" s="13">
        <f t="shared" ca="1" si="19"/>
        <v>41624.102054794523</v>
      </c>
      <c r="F130" s="3">
        <v>0.28999999999999998</v>
      </c>
      <c r="G130" s="3">
        <f t="shared" si="22"/>
        <v>3448.2758620689656</v>
      </c>
      <c r="H130" s="3">
        <v>1</v>
      </c>
      <c r="I130" s="3">
        <v>0</v>
      </c>
      <c r="J130" s="3">
        <v>0</v>
      </c>
      <c r="K130" s="3">
        <f>'Data (ignore)'!B756</f>
        <v>0.05</v>
      </c>
      <c r="L130" s="15">
        <v>-1000</v>
      </c>
      <c r="M130" s="10">
        <f>G130*H130*K130+(I130)+(J130)</f>
        <v>172.41379310344828</v>
      </c>
      <c r="N130" s="3">
        <f ca="1">($Z$17-D130)/365</f>
        <v>4.4082191780821915</v>
      </c>
      <c r="O130" s="12">
        <f t="shared" si="32"/>
        <v>-0.82758620689655171</v>
      </c>
      <c r="P130" s="12">
        <f t="shared" ca="1" si="33"/>
        <v>-0.32885378923320818</v>
      </c>
      <c r="Q130" s="9" t="s">
        <v>321</v>
      </c>
    </row>
    <row r="131" spans="1:18" x14ac:dyDescent="0.25">
      <c r="A131" t="s">
        <v>158</v>
      </c>
      <c r="B131" t="s">
        <v>322</v>
      </c>
      <c r="C131" t="s">
        <v>10</v>
      </c>
      <c r="D131" s="2">
        <v>40016</v>
      </c>
      <c r="E131" s="13">
        <f t="shared" si="19"/>
        <v>40101.058219178085</v>
      </c>
      <c r="F131" s="3">
        <v>3.47</v>
      </c>
      <c r="G131" s="3">
        <f t="shared" si="22"/>
        <v>288.18443804034581</v>
      </c>
      <c r="H131" s="3">
        <v>1</v>
      </c>
      <c r="I131" s="3">
        <v>0</v>
      </c>
      <c r="J131" s="3">
        <v>0</v>
      </c>
      <c r="K131" s="3">
        <v>6.73</v>
      </c>
      <c r="L131" s="15">
        <v>-1000</v>
      </c>
      <c r="M131" s="10">
        <f>G131/2*4.71+G131/2*K131</f>
        <v>1648.4149855907781</v>
      </c>
      <c r="N131" s="3">
        <f>(DATE(2009,10,15)-D131)/365</f>
        <v>0.23287671232876711</v>
      </c>
      <c r="O131" s="12">
        <f t="shared" si="32"/>
        <v>0.64841498559077804</v>
      </c>
      <c r="P131" s="12">
        <f t="shared" si="33"/>
        <v>7.5528197642420647</v>
      </c>
      <c r="Q131" s="9" t="s">
        <v>323</v>
      </c>
      <c r="R131" t="s">
        <v>164</v>
      </c>
    </row>
    <row r="132" spans="1:18" x14ac:dyDescent="0.25">
      <c r="A132" t="s">
        <v>160</v>
      </c>
      <c r="B132" t="s">
        <v>324</v>
      </c>
      <c r="C132" t="s">
        <v>10</v>
      </c>
      <c r="D132" s="2">
        <v>40030</v>
      </c>
      <c r="E132" s="13">
        <f t="shared" si="19"/>
        <v>40429.273287671233</v>
      </c>
      <c r="F132" s="3">
        <v>1.9</v>
      </c>
      <c r="G132" s="3">
        <f t="shared" si="22"/>
        <v>526.31578947368428</v>
      </c>
      <c r="H132" s="3">
        <v>1</v>
      </c>
      <c r="I132" s="3">
        <v>0</v>
      </c>
      <c r="J132" s="3">
        <v>0</v>
      </c>
      <c r="K132" s="3">
        <v>2.72</v>
      </c>
      <c r="L132" s="15">
        <v>-1000</v>
      </c>
      <c r="M132" s="10">
        <f>G132*H132*K132+(I132)+(J132)</f>
        <v>1431.5789473684213</v>
      </c>
      <c r="N132" s="3">
        <f>(DATE(2010,9,8)-D132)/365</f>
        <v>1.0931506849315069</v>
      </c>
      <c r="O132" s="12">
        <f t="shared" si="32"/>
        <v>0.43157894736842128</v>
      </c>
      <c r="P132" s="12">
        <f t="shared" si="33"/>
        <v>0.38847418173099202</v>
      </c>
      <c r="Q132" s="9" t="s">
        <v>325</v>
      </c>
      <c r="R132" t="s">
        <v>179</v>
      </c>
    </row>
    <row r="133" spans="1:18" x14ac:dyDescent="0.25">
      <c r="A133" t="s">
        <v>161</v>
      </c>
      <c r="B133" t="s">
        <v>436</v>
      </c>
      <c r="C133" t="s">
        <v>10</v>
      </c>
      <c r="D133" s="2">
        <v>40030</v>
      </c>
      <c r="E133" s="13">
        <f t="shared" si="19"/>
        <v>40379.239041095891</v>
      </c>
      <c r="F133" s="3">
        <v>2</v>
      </c>
      <c r="G133" s="3">
        <f t="shared" si="22"/>
        <v>500</v>
      </c>
      <c r="H133" s="3">
        <v>1</v>
      </c>
      <c r="I133" s="3">
        <v>0</v>
      </c>
      <c r="J133" s="3">
        <v>0</v>
      </c>
      <c r="K133" s="3">
        <v>2.2000000000000002</v>
      </c>
      <c r="L133" s="15">
        <v>-1000</v>
      </c>
      <c r="M133" s="10">
        <f>G133*H133*K133+(I133)+(J133)</f>
        <v>1100</v>
      </c>
      <c r="N133" s="3">
        <f>(DATE(2010,7,20)-D133)/365</f>
        <v>0.95616438356164379</v>
      </c>
      <c r="O133" s="12">
        <f t="shared" si="32"/>
        <v>0.1</v>
      </c>
      <c r="P133" s="12">
        <f t="shared" si="33"/>
        <v>0.10481698955560259</v>
      </c>
      <c r="Q133" s="9" t="s">
        <v>325</v>
      </c>
      <c r="R133" t="s">
        <v>435</v>
      </c>
    </row>
    <row r="134" spans="1:18" x14ac:dyDescent="0.25">
      <c r="A134" t="s">
        <v>163</v>
      </c>
      <c r="B134" t="s">
        <v>326</v>
      </c>
      <c r="C134" t="s">
        <v>10</v>
      </c>
      <c r="D134" s="2">
        <v>40087</v>
      </c>
      <c r="E134" s="13">
        <f t="shared" ca="1" si="19"/>
        <v>41624.05205479452</v>
      </c>
      <c r="F134" s="3">
        <v>4.5</v>
      </c>
      <c r="G134" s="3">
        <f t="shared" si="22"/>
        <v>222.22222222222223</v>
      </c>
      <c r="H134" s="3">
        <v>1</v>
      </c>
      <c r="I134" s="3">
        <v>0</v>
      </c>
      <c r="J134" s="3">
        <v>0</v>
      </c>
      <c r="K134" s="3">
        <f>K145</f>
        <v>8.18</v>
      </c>
      <c r="L134" s="15">
        <v>-1000</v>
      </c>
      <c r="M134" s="10">
        <f>G134*H134*K134+(I134)+(J134)</f>
        <v>1817.7777777777778</v>
      </c>
      <c r="N134" s="3">
        <f ca="1">($Z$17-D134)/365</f>
        <v>4.2082191780821914</v>
      </c>
      <c r="O134" s="12">
        <f>(M134-1000)/1000</f>
        <v>0.81777777777777783</v>
      </c>
      <c r="P134" s="12">
        <f ca="1">(M134/1000)^(1/N134)-1</f>
        <v>0.15258969400086131</v>
      </c>
      <c r="Q134" s="9" t="s">
        <v>327</v>
      </c>
    </row>
    <row r="135" spans="1:18" x14ac:dyDescent="0.25">
      <c r="A135" t="s">
        <v>163</v>
      </c>
      <c r="B135" t="s">
        <v>326</v>
      </c>
      <c r="C135" t="s">
        <v>10</v>
      </c>
      <c r="D135" s="2">
        <v>40099</v>
      </c>
      <c r="E135" s="13">
        <f t="shared" ca="1" si="19"/>
        <v>41624.043835616438</v>
      </c>
      <c r="F135" s="3">
        <v>3.7</v>
      </c>
      <c r="G135" s="3">
        <f t="shared" si="22"/>
        <v>270.27027027027026</v>
      </c>
      <c r="H135" s="3">
        <v>1</v>
      </c>
      <c r="I135" s="3">
        <v>0</v>
      </c>
      <c r="J135" s="3">
        <v>0</v>
      </c>
      <c r="K135" s="3">
        <f>K145</f>
        <v>8.18</v>
      </c>
      <c r="L135" s="15">
        <v>-1000</v>
      </c>
      <c r="M135" s="10">
        <f>G135*H135*K135+(I135)+(J135)</f>
        <v>2210.8108108108108</v>
      </c>
      <c r="N135" s="3">
        <f ca="1">($Z$17-D135)/365</f>
        <v>4.1753424657534248</v>
      </c>
      <c r="O135" s="12">
        <f>(M135-1000)/1000</f>
        <v>1.2108108108108109</v>
      </c>
      <c r="P135" s="12">
        <f ca="1">(M135/1000)^(1/N135)-1</f>
        <v>0.20926241688340741</v>
      </c>
      <c r="Q135" s="9" t="s">
        <v>328</v>
      </c>
    </row>
    <row r="136" spans="1:18" x14ac:dyDescent="0.25">
      <c r="A136" t="s">
        <v>165</v>
      </c>
      <c r="B136" t="s">
        <v>166</v>
      </c>
      <c r="C136" t="s">
        <v>10</v>
      </c>
      <c r="D136" s="2">
        <v>40105</v>
      </c>
      <c r="E136" s="13">
        <f t="shared" ca="1" si="19"/>
        <v>41624.039726027397</v>
      </c>
      <c r="F136" s="3">
        <v>5</v>
      </c>
      <c r="G136" s="3">
        <f t="shared" si="22"/>
        <v>200</v>
      </c>
      <c r="H136" s="3">
        <v>1</v>
      </c>
      <c r="I136" s="3">
        <v>0</v>
      </c>
      <c r="J136" s="3">
        <v>0</v>
      </c>
      <c r="K136" s="3">
        <v>0</v>
      </c>
      <c r="L136" s="15">
        <v>-1000</v>
      </c>
      <c r="M136" s="10">
        <v>0</v>
      </c>
      <c r="N136" s="3">
        <f ca="1">($Z$17-D136)/365</f>
        <v>4.1589041095890407</v>
      </c>
      <c r="O136" s="12">
        <f>(M136-1000)/1000</f>
        <v>-1</v>
      </c>
      <c r="P136" s="12">
        <f ca="1">(M136/1000)^(1/N136)-1</f>
        <v>-1</v>
      </c>
      <c r="Q136" s="9" t="s">
        <v>416</v>
      </c>
    </row>
    <row r="137" spans="1:18" x14ac:dyDescent="0.25">
      <c r="A137" t="s">
        <v>154</v>
      </c>
      <c r="B137" t="s">
        <v>317</v>
      </c>
      <c r="C137" t="s">
        <v>10</v>
      </c>
      <c r="D137" s="2">
        <v>40115</v>
      </c>
      <c r="E137" s="13">
        <f t="shared" si="19"/>
        <v>40186.048630136989</v>
      </c>
      <c r="F137" s="3">
        <v>5.99</v>
      </c>
      <c r="G137" s="3">
        <f t="shared" si="22"/>
        <v>166.9449081803005</v>
      </c>
      <c r="H137" s="3">
        <v>1</v>
      </c>
      <c r="I137" s="3">
        <v>0</v>
      </c>
      <c r="J137" s="3">
        <v>0</v>
      </c>
      <c r="K137" s="3">
        <v>10.94</v>
      </c>
      <c r="L137" s="15">
        <v>-1000</v>
      </c>
      <c r="M137" s="10">
        <f>G137*H137*K137+(I137)+(J137)</f>
        <v>1826.3772954924873</v>
      </c>
      <c r="N137" s="3">
        <f>(DATE(2010,1,8)-D137)/365</f>
        <v>0.19452054794520549</v>
      </c>
      <c r="O137" s="12">
        <f t="shared" ref="O137:O146" si="34">(M137-1000)/1000</f>
        <v>0.82637729549248728</v>
      </c>
      <c r="P137" s="12">
        <f t="shared" ref="P137:P146" si="35">(M137/1000)^(1/N137)-1</f>
        <v>21.120565760138042</v>
      </c>
      <c r="Q137" s="9" t="s">
        <v>329</v>
      </c>
      <c r="R137" t="s">
        <v>173</v>
      </c>
    </row>
    <row r="138" spans="1:18" x14ac:dyDescent="0.25">
      <c r="A138" t="s">
        <v>163</v>
      </c>
      <c r="B138" t="s">
        <v>326</v>
      </c>
      <c r="C138" t="s">
        <v>10</v>
      </c>
      <c r="D138" s="2">
        <v>40115</v>
      </c>
      <c r="E138" s="13">
        <f t="shared" ca="1" si="19"/>
        <v>41624.032876712328</v>
      </c>
      <c r="F138" s="3">
        <v>3.16</v>
      </c>
      <c r="G138" s="3">
        <f t="shared" si="22"/>
        <v>316.45569620253161</v>
      </c>
      <c r="H138" s="3">
        <v>1</v>
      </c>
      <c r="I138" s="3">
        <v>0</v>
      </c>
      <c r="J138" s="3">
        <v>0</v>
      </c>
      <c r="K138" s="3">
        <f>K145</f>
        <v>8.18</v>
      </c>
      <c r="L138" s="15">
        <v>-1000</v>
      </c>
      <c r="M138" s="10">
        <f>G138*H138*K138+(I138)+(J138)</f>
        <v>2588.6075949367087</v>
      </c>
      <c r="N138" s="3">
        <f ca="1">($Z$17-D138)/365</f>
        <v>4.1315068493150688</v>
      </c>
      <c r="O138" s="12">
        <f t="shared" si="34"/>
        <v>1.5886075949367087</v>
      </c>
      <c r="P138" s="12">
        <f t="shared" ca="1" si="35"/>
        <v>0.25886615092592469</v>
      </c>
      <c r="Q138" s="9" t="s">
        <v>329</v>
      </c>
    </row>
    <row r="139" spans="1:18" x14ac:dyDescent="0.25">
      <c r="A139" t="s">
        <v>168</v>
      </c>
      <c r="B139" t="s">
        <v>330</v>
      </c>
      <c r="C139" t="s">
        <v>10</v>
      </c>
      <c r="D139" s="2">
        <v>40115</v>
      </c>
      <c r="E139" s="13">
        <f t="shared" si="19"/>
        <v>40548.79691780822</v>
      </c>
      <c r="F139" s="3">
        <v>3.17</v>
      </c>
      <c r="G139" s="3">
        <f t="shared" si="22"/>
        <v>315.45741324921136</v>
      </c>
      <c r="H139" s="3">
        <v>1</v>
      </c>
      <c r="I139" s="3">
        <v>0</v>
      </c>
      <c r="J139" s="3">
        <v>0</v>
      </c>
      <c r="K139" s="3">
        <v>1.94</v>
      </c>
      <c r="L139" s="15">
        <v>-1000</v>
      </c>
      <c r="M139" s="10">
        <f>G139/2*2.17+G139/2*1.94</f>
        <v>648.26498422712928</v>
      </c>
      <c r="N139" s="3">
        <f>((DATE(2010,11,23)/2+DATE(2011,2,18)/2)-D139)/365</f>
        <v>1.1876712328767123</v>
      </c>
      <c r="O139" s="12">
        <f t="shared" si="34"/>
        <v>-0.35173501577287075</v>
      </c>
      <c r="P139" s="12">
        <f t="shared" si="35"/>
        <v>-0.30577747853056936</v>
      </c>
      <c r="Q139" s="9" t="s">
        <v>329</v>
      </c>
      <c r="R139" t="s">
        <v>200</v>
      </c>
    </row>
    <row r="140" spans="1:18" x14ac:dyDescent="0.25">
      <c r="A140" t="s">
        <v>170</v>
      </c>
      <c r="B140" t="s">
        <v>308</v>
      </c>
      <c r="C140" t="s">
        <v>10</v>
      </c>
      <c r="D140" s="2">
        <v>40116</v>
      </c>
      <c r="E140" s="13">
        <f t="shared" ca="1" si="19"/>
        <v>41624.032191780825</v>
      </c>
      <c r="F140" s="3">
        <v>102.53</v>
      </c>
      <c r="G140" s="3">
        <f t="shared" si="22"/>
        <v>9.7532429532819656</v>
      </c>
      <c r="H140" s="3">
        <v>1</v>
      </c>
      <c r="I140" s="3">
        <v>0</v>
      </c>
      <c r="J140" s="3">
        <v>0</v>
      </c>
      <c r="K140" s="3">
        <f>'Data (ignore)'!B690</f>
        <v>118.29</v>
      </c>
      <c r="L140" s="15">
        <v>-1000</v>
      </c>
      <c r="M140" s="10">
        <f>G140*H140*K140+(I140)+(J140)</f>
        <v>1153.7111089437237</v>
      </c>
      <c r="N140" s="3">
        <f t="shared" ref="N140:N146" ca="1" si="36">($Z$17-D140)/365</f>
        <v>4.1287671232876715</v>
      </c>
      <c r="O140" s="12">
        <f t="shared" si="34"/>
        <v>0.15371110894372372</v>
      </c>
      <c r="P140" s="12">
        <f t="shared" ca="1" si="35"/>
        <v>3.5237751873212764E-2</v>
      </c>
      <c r="Q140" s="9" t="s">
        <v>331</v>
      </c>
    </row>
    <row r="141" spans="1:18" x14ac:dyDescent="0.25">
      <c r="A141" t="s">
        <v>169</v>
      </c>
      <c r="B141" t="s">
        <v>409</v>
      </c>
      <c r="C141" t="s">
        <v>10</v>
      </c>
      <c r="D141" s="2">
        <v>40119</v>
      </c>
      <c r="E141" s="13">
        <f t="shared" ca="1" si="19"/>
        <v>41624.030136986301</v>
      </c>
      <c r="F141" s="3">
        <v>2.9</v>
      </c>
      <c r="G141" s="3">
        <f t="shared" si="22"/>
        <v>344.82758620689657</v>
      </c>
      <c r="H141" s="3">
        <v>1</v>
      </c>
      <c r="I141" s="3">
        <v>0</v>
      </c>
      <c r="J141" s="3">
        <v>0</v>
      </c>
      <c r="K141" s="3">
        <f>'Data (ignore)'!B788</f>
        <v>2.15</v>
      </c>
      <c r="L141" s="15">
        <v>-1000</v>
      </c>
      <c r="M141" s="10">
        <f>1000/F141*K141</f>
        <v>741.37931034482756</v>
      </c>
      <c r="N141" s="3">
        <f t="shared" ca="1" si="36"/>
        <v>4.1205479452054794</v>
      </c>
      <c r="O141" s="12">
        <f t="shared" si="34"/>
        <v>-0.25862068965517243</v>
      </c>
      <c r="P141" s="12">
        <f t="shared" ca="1" si="35"/>
        <v>-7.0047818701346687E-2</v>
      </c>
      <c r="Q141" s="9" t="s">
        <v>410</v>
      </c>
    </row>
    <row r="142" spans="1:18" x14ac:dyDescent="0.25">
      <c r="A142" t="s">
        <v>171</v>
      </c>
      <c r="B142" t="s">
        <v>332</v>
      </c>
      <c r="C142" t="s">
        <v>10</v>
      </c>
      <c r="D142" s="2">
        <v>40137</v>
      </c>
      <c r="E142" s="13">
        <f t="shared" ca="1" si="19"/>
        <v>41624.017808219178</v>
      </c>
      <c r="F142" s="3">
        <v>3</v>
      </c>
      <c r="G142" s="3">
        <f t="shared" si="22"/>
        <v>333.33333333333331</v>
      </c>
      <c r="H142" s="3">
        <v>1</v>
      </c>
      <c r="I142" s="3">
        <v>0</v>
      </c>
      <c r="J142" s="3">
        <v>0</v>
      </c>
      <c r="K142" s="3">
        <f>'Data (ignore)'!B804</f>
        <v>0.72</v>
      </c>
      <c r="L142" s="15">
        <v>-1000</v>
      </c>
      <c r="M142" s="10">
        <f>G142*H142*K142+(I142)+(J142)</f>
        <v>239.99999999999997</v>
      </c>
      <c r="N142" s="3">
        <f t="shared" ca="1" si="36"/>
        <v>4.0712328767123287</v>
      </c>
      <c r="O142" s="12">
        <f t="shared" si="34"/>
        <v>-0.76</v>
      </c>
      <c r="P142" s="12">
        <f t="shared" ca="1" si="35"/>
        <v>-0.29568998343850095</v>
      </c>
      <c r="Q142" s="9" t="s">
        <v>333</v>
      </c>
    </row>
    <row r="143" spans="1:18" x14ac:dyDescent="0.25">
      <c r="A143" t="s">
        <v>172</v>
      </c>
      <c r="B143" t="s">
        <v>172</v>
      </c>
      <c r="C143" t="s">
        <v>10</v>
      </c>
      <c r="D143" s="2">
        <v>40150</v>
      </c>
      <c r="E143" s="13">
        <f t="shared" ca="1" si="19"/>
        <v>41624.008904109593</v>
      </c>
      <c r="F143" s="3">
        <v>2.1999999999999999E-2</v>
      </c>
      <c r="G143" s="3">
        <f t="shared" si="22"/>
        <v>45454.545454545456</v>
      </c>
      <c r="H143" s="3">
        <v>1</v>
      </c>
      <c r="I143" s="3">
        <v>0</v>
      </c>
      <c r="J143" s="3">
        <v>0</v>
      </c>
      <c r="K143" s="3">
        <v>0</v>
      </c>
      <c r="L143" s="15">
        <v>-1000</v>
      </c>
      <c r="M143" s="10">
        <f>G143*H143*K143+(I143)+(J143)</f>
        <v>0</v>
      </c>
      <c r="N143" s="3">
        <f t="shared" ca="1" si="36"/>
        <v>4.0356164383561648</v>
      </c>
      <c r="O143" s="12">
        <f t="shared" si="34"/>
        <v>-1</v>
      </c>
      <c r="P143" s="12">
        <f t="shared" ca="1" si="35"/>
        <v>-1</v>
      </c>
      <c r="Q143" s="9" t="s">
        <v>334</v>
      </c>
    </row>
    <row r="144" spans="1:18" x14ac:dyDescent="0.25">
      <c r="A144" t="s">
        <v>174</v>
      </c>
      <c r="B144" t="s">
        <v>335</v>
      </c>
      <c r="C144" t="s">
        <v>10</v>
      </c>
      <c r="D144" s="2">
        <v>40199</v>
      </c>
      <c r="E144" s="13">
        <f t="shared" ca="1" si="19"/>
        <v>41623.975342465754</v>
      </c>
      <c r="F144" s="3">
        <v>5.19</v>
      </c>
      <c r="G144" s="3">
        <f t="shared" si="22"/>
        <v>192.67822736030828</v>
      </c>
      <c r="H144" s="3">
        <v>1</v>
      </c>
      <c r="I144" s="3">
        <v>0</v>
      </c>
      <c r="J144" s="3">
        <v>0</v>
      </c>
      <c r="K144" s="3">
        <f>K150</f>
        <v>0.25</v>
      </c>
      <c r="L144" s="15">
        <v>-1000</v>
      </c>
      <c r="M144" s="10">
        <f>G144*H144*K144+(I144)+(J144)</f>
        <v>48.169556840077071</v>
      </c>
      <c r="N144" s="3">
        <f t="shared" ca="1" si="36"/>
        <v>3.9013698630136986</v>
      </c>
      <c r="O144" s="12">
        <f t="shared" si="34"/>
        <v>-0.95183044315992293</v>
      </c>
      <c r="P144" s="12">
        <f t="shared" ca="1" si="35"/>
        <v>-0.54041273096182885</v>
      </c>
      <c r="Q144" s="9" t="s">
        <v>336</v>
      </c>
    </row>
    <row r="145" spans="1:18" x14ac:dyDescent="0.25">
      <c r="A145" t="s">
        <v>163</v>
      </c>
      <c r="B145" t="s">
        <v>326</v>
      </c>
      <c r="C145" t="s">
        <v>10</v>
      </c>
      <c r="D145" s="2">
        <v>40231</v>
      </c>
      <c r="E145" s="13">
        <f t="shared" ca="1" si="19"/>
        <v>41623.953424657535</v>
      </c>
      <c r="F145" s="3">
        <v>2.4500000000000002</v>
      </c>
      <c r="G145" s="3">
        <f t="shared" si="22"/>
        <v>408.16326530612241</v>
      </c>
      <c r="H145" s="3">
        <v>1</v>
      </c>
      <c r="I145" s="3">
        <v>0</v>
      </c>
      <c r="J145" s="3">
        <v>0</v>
      </c>
      <c r="K145" s="3">
        <f>'Data (ignore)'!B772</f>
        <v>8.18</v>
      </c>
      <c r="L145" s="15">
        <v>-1000</v>
      </c>
      <c r="M145" s="10">
        <f>G145*H145*K145+(I145)+(J145)</f>
        <v>3338.775510204081</v>
      </c>
      <c r="N145" s="3">
        <f t="shared" ca="1" si="36"/>
        <v>3.8136986301369862</v>
      </c>
      <c r="O145" s="12">
        <f t="shared" si="34"/>
        <v>2.3387755102040808</v>
      </c>
      <c r="P145" s="12">
        <f t="shared" ca="1" si="35"/>
        <v>0.37180123330347303</v>
      </c>
      <c r="Q145" s="9" t="s">
        <v>338</v>
      </c>
      <c r="R145" t="s">
        <v>197</v>
      </c>
    </row>
    <row r="146" spans="1:18" x14ac:dyDescent="0.25">
      <c r="A146" t="s">
        <v>147</v>
      </c>
      <c r="B146" t="s">
        <v>309</v>
      </c>
      <c r="C146" t="s">
        <v>10</v>
      </c>
      <c r="D146" s="2">
        <v>40233</v>
      </c>
      <c r="E146" s="13">
        <f t="shared" ref="E146:E205" ca="1" si="37">D146+(365.25*N146)</f>
        <v>41623.952054794521</v>
      </c>
      <c r="F146" s="3">
        <v>4.29</v>
      </c>
      <c r="G146" s="3">
        <f t="shared" si="22"/>
        <v>233.10023310023311</v>
      </c>
      <c r="H146" s="3">
        <v>1</v>
      </c>
      <c r="I146" s="3">
        <f>G146*(0.017*5+0.021*6+0.25)</f>
        <v>107.45920745920746</v>
      </c>
      <c r="J146" s="3">
        <v>0</v>
      </c>
      <c r="K146" s="3">
        <f>K176</f>
        <v>8.5500000000000007</v>
      </c>
      <c r="L146" s="15">
        <v>-1000</v>
      </c>
      <c r="M146" s="10">
        <f>G146*H146*K146+(I146)+(J146)</f>
        <v>2100.4662004662009</v>
      </c>
      <c r="N146" s="3">
        <f t="shared" ca="1" si="36"/>
        <v>3.8082191780821919</v>
      </c>
      <c r="O146" s="12">
        <f t="shared" si="34"/>
        <v>1.1004662004662009</v>
      </c>
      <c r="P146" s="12">
        <f t="shared" ca="1" si="35"/>
        <v>0.21516948698912808</v>
      </c>
      <c r="Q146" s="9" t="s">
        <v>339</v>
      </c>
    </row>
    <row r="147" spans="1:18" x14ac:dyDescent="0.25">
      <c r="A147" t="s">
        <v>175</v>
      </c>
      <c r="B147" t="s">
        <v>341</v>
      </c>
      <c r="C147" t="s">
        <v>10</v>
      </c>
      <c r="D147" s="2">
        <v>40235</v>
      </c>
      <c r="E147" s="13">
        <f t="shared" si="37"/>
        <v>40963.498630136986</v>
      </c>
      <c r="F147" s="3">
        <v>2.62</v>
      </c>
      <c r="G147" s="3">
        <f t="shared" si="22"/>
        <v>381.67938931297709</v>
      </c>
      <c r="H147" s="3">
        <v>1</v>
      </c>
      <c r="I147" s="3">
        <v>0</v>
      </c>
      <c r="J147" s="3">
        <v>0</v>
      </c>
      <c r="K147" s="3">
        <v>11.74</v>
      </c>
      <c r="L147" s="15">
        <v>-1000</v>
      </c>
      <c r="M147" s="10">
        <f>G147/2*6.41+G147/2*K147</f>
        <v>3463.740458015267</v>
      </c>
      <c r="N147" s="3">
        <f>(DATE(2013,9,10)/2+DATE(2010,8,9)/2-D147)/365</f>
        <v>1.9945205479452055</v>
      </c>
      <c r="O147" s="12">
        <f t="shared" ref="O147:O153" si="38">(M147-1000)/1000</f>
        <v>2.4637404580152671</v>
      </c>
      <c r="P147" s="12">
        <f t="shared" ref="P147:P153" si="39">(M147/1000)^(1/N147)-1</f>
        <v>0.8642914374892583</v>
      </c>
      <c r="Q147" s="9" t="s">
        <v>340</v>
      </c>
      <c r="R147" t="s">
        <v>545</v>
      </c>
    </row>
    <row r="148" spans="1:18" x14ac:dyDescent="0.25">
      <c r="A148" t="s">
        <v>176</v>
      </c>
      <c r="B148" t="s">
        <v>342</v>
      </c>
      <c r="C148" t="s">
        <v>10</v>
      </c>
      <c r="D148" s="2">
        <v>40247</v>
      </c>
      <c r="E148" s="13">
        <f t="shared" ca="1" si="37"/>
        <v>41623.942465753425</v>
      </c>
      <c r="F148" s="3">
        <v>10.3</v>
      </c>
      <c r="G148" s="3">
        <f t="shared" si="22"/>
        <v>97.087378640776691</v>
      </c>
      <c r="H148" s="3">
        <v>1</v>
      </c>
      <c r="I148" s="3">
        <f>G148*(0.06+0.06+0.06+0.08+0.09+0.1+0.12+0.12+0.13+0.14+0.14+0.15*3)</f>
        <v>150.48543689320388</v>
      </c>
      <c r="J148" s="3">
        <v>0</v>
      </c>
      <c r="K148" s="3">
        <f>'Data (ignore)'!B550</f>
        <v>14.41</v>
      </c>
      <c r="L148" s="15">
        <v>-1000</v>
      </c>
      <c r="M148" s="10">
        <f>G148*H148*K148+(I148)+(J148)</f>
        <v>1549.5145631067962</v>
      </c>
      <c r="N148" s="3">
        <f ca="1">($Z$17-D148)/365</f>
        <v>3.7698630136986302</v>
      </c>
      <c r="O148" s="12">
        <f t="shared" si="38"/>
        <v>0.54951456310679625</v>
      </c>
      <c r="P148" s="12">
        <f t="shared" ca="1" si="39"/>
        <v>0.12318581758736746</v>
      </c>
      <c r="Q148" s="9" t="s">
        <v>343</v>
      </c>
    </row>
    <row r="149" spans="1:18" x14ac:dyDescent="0.25">
      <c r="A149" t="s">
        <v>175</v>
      </c>
      <c r="B149" t="s">
        <v>341</v>
      </c>
      <c r="C149" t="s">
        <v>10</v>
      </c>
      <c r="D149" s="2">
        <v>40324</v>
      </c>
      <c r="E149" s="13">
        <f t="shared" si="37"/>
        <v>41527.823972602739</v>
      </c>
      <c r="F149" s="3">
        <v>4.09</v>
      </c>
      <c r="G149" s="3">
        <f t="shared" si="22"/>
        <v>244.49877750611248</v>
      </c>
      <c r="H149" s="3">
        <v>1</v>
      </c>
      <c r="I149" s="3">
        <v>0</v>
      </c>
      <c r="J149" s="3">
        <v>0</v>
      </c>
      <c r="K149" s="3">
        <v>11.74</v>
      </c>
      <c r="L149" s="15">
        <v>-1000</v>
      </c>
      <c r="M149" s="10">
        <f>G149*H149*K149+(I149)+(J149)</f>
        <v>2870.4156479217604</v>
      </c>
      <c r="N149" s="3">
        <f>(DATE(2013,9,10)-D149)/365</f>
        <v>3.2958904109589042</v>
      </c>
      <c r="O149" s="12">
        <f t="shared" si="38"/>
        <v>1.8704156479217604</v>
      </c>
      <c r="P149" s="12">
        <f t="shared" si="39"/>
        <v>0.37703246556826797</v>
      </c>
      <c r="Q149" s="9" t="s">
        <v>344</v>
      </c>
      <c r="R149" t="s">
        <v>546</v>
      </c>
    </row>
    <row r="150" spans="1:18" x14ac:dyDescent="0.25">
      <c r="A150" t="s">
        <v>174</v>
      </c>
      <c r="B150" t="s">
        <v>335</v>
      </c>
      <c r="C150" t="s">
        <v>10</v>
      </c>
      <c r="D150" s="2">
        <v>40339</v>
      </c>
      <c r="E150" s="13">
        <f t="shared" ca="1" si="37"/>
        <v>41135.044863013696</v>
      </c>
      <c r="F150" s="3">
        <v>9.1999999999999993</v>
      </c>
      <c r="G150" s="3">
        <f t="shared" si="22"/>
        <v>108.69565217391305</v>
      </c>
      <c r="H150" s="3">
        <v>1</v>
      </c>
      <c r="I150" s="3">
        <v>0</v>
      </c>
      <c r="J150" s="3">
        <v>0</v>
      </c>
      <c r="K150" s="3">
        <f>'Data (ignore)'!B820</f>
        <v>0.25</v>
      </c>
      <c r="L150" s="15">
        <v>-1000</v>
      </c>
      <c r="M150" s="10">
        <f>G150/2*8.63+G150/2*K150</f>
        <v>482.60869565217399</v>
      </c>
      <c r="N150" s="3">
        <f ca="1">($Z$17/2+DATE(2011,4,13)/2-D150)/365</f>
        <v>2.1794520547945204</v>
      </c>
      <c r="O150" s="12">
        <f t="shared" si="38"/>
        <v>-0.51739130434782599</v>
      </c>
      <c r="P150" s="12">
        <f t="shared" ca="1" si="39"/>
        <v>-0.28414730053186266</v>
      </c>
      <c r="Q150" s="9" t="s">
        <v>337</v>
      </c>
      <c r="R150" t="s">
        <v>203</v>
      </c>
    </row>
    <row r="151" spans="1:18" x14ac:dyDescent="0.25">
      <c r="A151" t="s">
        <v>82</v>
      </c>
      <c r="B151" t="s">
        <v>83</v>
      </c>
      <c r="C151" t="s">
        <v>10</v>
      </c>
      <c r="D151" s="2">
        <v>40401</v>
      </c>
      <c r="E151" s="13">
        <f t="shared" ca="1" si="37"/>
        <v>41623.836986301372</v>
      </c>
      <c r="F151" s="3">
        <v>1.28</v>
      </c>
      <c r="G151" s="3">
        <f t="shared" si="22"/>
        <v>781.25</v>
      </c>
      <c r="H151" s="3">
        <v>1</v>
      </c>
      <c r="I151" s="3">
        <v>0</v>
      </c>
      <c r="J151" s="3">
        <v>0</v>
      </c>
      <c r="K151" s="3">
        <f>'Data (ignore)'!B836</f>
        <v>0.17</v>
      </c>
      <c r="L151" s="15">
        <v>-1000</v>
      </c>
      <c r="M151" s="10">
        <f>G151*H151*K151+(I151)+(J151)</f>
        <v>132.8125</v>
      </c>
      <c r="N151" s="3">
        <f ca="1">($Z$17-D151)/365</f>
        <v>3.3479452054794518</v>
      </c>
      <c r="O151" s="12">
        <f t="shared" si="38"/>
        <v>-0.8671875</v>
      </c>
      <c r="P151" s="12">
        <f t="shared" ca="1" si="39"/>
        <v>-0.45283330585152104</v>
      </c>
      <c r="Q151" s="9" t="s">
        <v>345</v>
      </c>
    </row>
    <row r="152" spans="1:18" x14ac:dyDescent="0.25">
      <c r="A152" t="s">
        <v>180</v>
      </c>
      <c r="B152" t="s">
        <v>348</v>
      </c>
      <c r="C152" t="s">
        <v>10</v>
      </c>
      <c r="D152" s="2">
        <v>40430</v>
      </c>
      <c r="E152" s="13">
        <f t="shared" si="37"/>
        <v>40583.10479452055</v>
      </c>
      <c r="F152" s="3">
        <v>9.9</v>
      </c>
      <c r="G152" s="3">
        <f t="shared" si="22"/>
        <v>101.01010101010101</v>
      </c>
      <c r="H152" s="3">
        <v>1</v>
      </c>
      <c r="I152" s="3">
        <f>G152/3*0.14+G152*2/3*0.07</f>
        <v>9.4276094276094273</v>
      </c>
      <c r="J152" s="3">
        <v>0</v>
      </c>
      <c r="K152" s="3">
        <v>10.19</v>
      </c>
      <c r="L152" s="15">
        <v>-1000</v>
      </c>
      <c r="M152" s="10">
        <f>G152/3*10.26+G152*2/3*K152+I152</f>
        <v>1041.0774410774411</v>
      </c>
      <c r="N152" s="3">
        <f>(DATE(2011,2,9)-D152)/365</f>
        <v>0.41917808219178082</v>
      </c>
      <c r="O152" s="12">
        <f t="shared" si="38"/>
        <v>4.1077441077441108E-2</v>
      </c>
      <c r="P152" s="12">
        <f t="shared" si="39"/>
        <v>0.1007986699985941</v>
      </c>
      <c r="Q152" s="9" t="s">
        <v>347</v>
      </c>
      <c r="R152" t="s">
        <v>198</v>
      </c>
    </row>
    <row r="153" spans="1:18" x14ac:dyDescent="0.25">
      <c r="A153" t="s">
        <v>183</v>
      </c>
      <c r="B153" t="s">
        <v>349</v>
      </c>
      <c r="C153" t="s">
        <v>10</v>
      </c>
      <c r="D153" s="2">
        <v>40431</v>
      </c>
      <c r="E153" s="13">
        <f t="shared" si="37"/>
        <v>40549.080821917807</v>
      </c>
      <c r="F153" s="3">
        <v>8</v>
      </c>
      <c r="G153" s="3">
        <f t="shared" si="22"/>
        <v>125</v>
      </c>
      <c r="H153" s="3">
        <v>1</v>
      </c>
      <c r="I153" s="3">
        <v>0</v>
      </c>
      <c r="J153" s="3">
        <v>0</v>
      </c>
      <c r="K153" s="3">
        <v>16.91</v>
      </c>
      <c r="L153" s="15">
        <v>-1000</v>
      </c>
      <c r="M153" s="10">
        <f>G153/2*8.15+G153/4*12.19+G153/4*16.91</f>
        <v>1418.75</v>
      </c>
      <c r="N153" s="3">
        <f>(DATE(2011,1,6)-D153)/365</f>
        <v>0.32328767123287672</v>
      </c>
      <c r="O153" s="12">
        <f t="shared" si="38"/>
        <v>0.41875000000000001</v>
      </c>
      <c r="P153" s="12">
        <f t="shared" si="39"/>
        <v>1.9503826177823278</v>
      </c>
      <c r="Q153" s="9" t="s">
        <v>350</v>
      </c>
      <c r="R153" t="s">
        <v>192</v>
      </c>
    </row>
    <row r="154" spans="1:18" x14ac:dyDescent="0.25">
      <c r="A154" t="s">
        <v>181</v>
      </c>
      <c r="B154" t="s">
        <v>181</v>
      </c>
      <c r="C154" t="s">
        <v>10</v>
      </c>
      <c r="D154" s="2">
        <v>40431</v>
      </c>
      <c r="E154" s="13">
        <f t="shared" si="37"/>
        <v>40456.017123287675</v>
      </c>
      <c r="F154" s="3">
        <v>6.15</v>
      </c>
      <c r="G154" s="3">
        <f t="shared" si="22"/>
        <v>162.60162601626016</v>
      </c>
      <c r="H154" s="3">
        <v>1</v>
      </c>
      <c r="I154" s="3">
        <v>0</v>
      </c>
      <c r="J154" s="3">
        <v>0</v>
      </c>
      <c r="K154" s="3">
        <v>7.7</v>
      </c>
      <c r="L154" s="15">
        <v>-1000</v>
      </c>
      <c r="M154" s="10">
        <f>1000/F154*K154+J154</f>
        <v>1252.0325203252032</v>
      </c>
      <c r="N154" s="3">
        <f>(DATE(2010,10,5)-D154)/365</f>
        <v>6.8493150684931503E-2</v>
      </c>
      <c r="O154" s="12">
        <f>(M154-1000)/1000</f>
        <v>0.25203252032520324</v>
      </c>
      <c r="P154" s="12">
        <f>(M154/1000)^(1/N154)-1</f>
        <v>25.618764696543426</v>
      </c>
      <c r="Q154" s="9" t="s">
        <v>350</v>
      </c>
      <c r="R154" t="s">
        <v>182</v>
      </c>
    </row>
    <row r="155" spans="1:18" x14ac:dyDescent="0.25">
      <c r="A155" t="s">
        <v>147</v>
      </c>
      <c r="B155" t="s">
        <v>309</v>
      </c>
      <c r="C155" t="s">
        <v>10</v>
      </c>
      <c r="D155" s="2">
        <v>40434</v>
      </c>
      <c r="E155" s="13">
        <f t="shared" ca="1" si="37"/>
        <v>41623.814383561643</v>
      </c>
      <c r="F155" s="3">
        <v>5.21</v>
      </c>
      <c r="G155" s="3">
        <f t="shared" si="22"/>
        <v>191.93857965451056</v>
      </c>
      <c r="H155" s="3">
        <v>1</v>
      </c>
      <c r="I155" s="3">
        <f>G155*(0.017*2+0.021*6+0.25)</f>
        <v>78.694817658349336</v>
      </c>
      <c r="J155" s="3">
        <v>0</v>
      </c>
      <c r="K155" s="3">
        <f>K176</f>
        <v>8.5500000000000007</v>
      </c>
      <c r="L155" s="15">
        <v>-1000</v>
      </c>
      <c r="M155" s="10">
        <f>1000/F155*K155+J155</f>
        <v>1641.0748560460654</v>
      </c>
      <c r="N155" s="3">
        <f ca="1">($Z$17-D155)/365</f>
        <v>3.2575342465753425</v>
      </c>
      <c r="O155" s="12">
        <f>(M155-1000)/1000</f>
        <v>0.6410748560460654</v>
      </c>
      <c r="P155" s="12">
        <f ca="1">(M155/1000)^(1/N155)-1</f>
        <v>0.16423393717896917</v>
      </c>
      <c r="Q155" s="9" t="s">
        <v>437</v>
      </c>
    </row>
    <row r="156" spans="1:18" x14ac:dyDescent="0.25">
      <c r="A156" t="s">
        <v>184</v>
      </c>
      <c r="B156" t="s">
        <v>351</v>
      </c>
      <c r="C156" t="s">
        <v>10</v>
      </c>
      <c r="D156" s="2">
        <v>40485</v>
      </c>
      <c r="E156" s="13">
        <f t="shared" si="37"/>
        <v>40890.277397260274</v>
      </c>
      <c r="F156" s="3">
        <v>1</v>
      </c>
      <c r="G156" s="3">
        <f t="shared" si="22"/>
        <v>1000</v>
      </c>
      <c r="H156" s="3">
        <v>1</v>
      </c>
      <c r="I156" s="3">
        <v>0</v>
      </c>
      <c r="J156" s="3">
        <v>0</v>
      </c>
      <c r="K156" s="3">
        <v>0.78</v>
      </c>
      <c r="L156" s="15">
        <v>-1000</v>
      </c>
      <c r="M156" s="10">
        <f t="shared" ref="M156:M161" si="40">G156*H156*K156+(I156)+(J156)</f>
        <v>780</v>
      </c>
      <c r="N156" s="3">
        <f>(DATE(2011,12,13)-D156)/365</f>
        <v>1.1095890410958904</v>
      </c>
      <c r="O156" s="12">
        <f t="shared" ref="O156:O163" si="41">(M156-1000)/1000</f>
        <v>-0.22</v>
      </c>
      <c r="P156" s="12">
        <f t="shared" ref="P156:P163" si="42">(M156/1000)^(1/N156)-1</f>
        <v>-0.20062248926990089</v>
      </c>
      <c r="Q156" s="9" t="s">
        <v>346</v>
      </c>
      <c r="R156" t="s">
        <v>218</v>
      </c>
    </row>
    <row r="157" spans="1:18" x14ac:dyDescent="0.25">
      <c r="A157" t="s">
        <v>185</v>
      </c>
      <c r="B157" t="s">
        <v>352</v>
      </c>
      <c r="C157" t="s">
        <v>10</v>
      </c>
      <c r="D157" s="2">
        <v>40485</v>
      </c>
      <c r="E157" s="13">
        <f t="shared" si="37"/>
        <v>40974.334931506848</v>
      </c>
      <c r="F157" s="3">
        <v>5.26</v>
      </c>
      <c r="G157" s="3">
        <f t="shared" si="22"/>
        <v>190.11406844106466</v>
      </c>
      <c r="H157" s="3">
        <v>1</v>
      </c>
      <c r="I157" s="3">
        <v>0</v>
      </c>
      <c r="J157" s="3">
        <v>0</v>
      </c>
      <c r="K157" s="3">
        <v>4.3499999999999996</v>
      </c>
      <c r="L157" s="15">
        <v>-1000</v>
      </c>
      <c r="M157" s="10">
        <f t="shared" si="40"/>
        <v>826.99619771863115</v>
      </c>
      <c r="N157" s="3">
        <f>(DATE(2012,3,6)-D157)/365</f>
        <v>1.3397260273972602</v>
      </c>
      <c r="O157" s="12">
        <f t="shared" si="41"/>
        <v>-0.17300380228136886</v>
      </c>
      <c r="P157" s="12">
        <f t="shared" si="42"/>
        <v>-0.13219356255896608</v>
      </c>
      <c r="Q157" s="9" t="s">
        <v>346</v>
      </c>
      <c r="R157" t="s">
        <v>223</v>
      </c>
    </row>
    <row r="158" spans="1:18" x14ac:dyDescent="0.25">
      <c r="A158" t="s">
        <v>186</v>
      </c>
      <c r="B158" t="s">
        <v>353</v>
      </c>
      <c r="C158" t="s">
        <v>10</v>
      </c>
      <c r="D158" s="2">
        <v>40485</v>
      </c>
      <c r="E158" s="13">
        <f t="shared" ca="1" si="37"/>
        <v>41561.236643835618</v>
      </c>
      <c r="F158" s="3">
        <v>6.51</v>
      </c>
      <c r="G158" s="3">
        <f t="shared" si="22"/>
        <v>153.60983102918587</v>
      </c>
      <c r="H158" s="3">
        <v>1</v>
      </c>
      <c r="I158" s="3">
        <v>0</v>
      </c>
      <c r="J158" s="3">
        <v>0</v>
      </c>
      <c r="K158" s="3">
        <f>'Data (ignore)'!B852</f>
        <v>24.1</v>
      </c>
      <c r="L158" s="15">
        <v>-1000</v>
      </c>
      <c r="M158" s="10">
        <f>G158/2*23.51+G158/2*K158+(I158)+(J158)</f>
        <v>3656.6820276497697</v>
      </c>
      <c r="N158" s="3">
        <f ca="1">((DATE(2013,8,12)/2+$Z$17/2)-D158)/365</f>
        <v>2.9465753424657533</v>
      </c>
      <c r="O158" s="12">
        <f t="shared" si="41"/>
        <v>2.6566820276497696</v>
      </c>
      <c r="P158" s="12">
        <f t="shared" ca="1" si="42"/>
        <v>0.55274043575024745</v>
      </c>
      <c r="Q158" s="9" t="s">
        <v>346</v>
      </c>
      <c r="R158" t="s">
        <v>544</v>
      </c>
    </row>
    <row r="159" spans="1:18" x14ac:dyDescent="0.25">
      <c r="A159" t="s">
        <v>82</v>
      </c>
      <c r="B159" t="s">
        <v>83</v>
      </c>
      <c r="C159" t="s">
        <v>10</v>
      </c>
      <c r="D159" s="2">
        <v>40485</v>
      </c>
      <c r="E159" s="13">
        <f t="shared" si="37"/>
        <v>40865.260273972606</v>
      </c>
      <c r="F159" s="3">
        <v>1.75</v>
      </c>
      <c r="G159" s="3">
        <f t="shared" si="22"/>
        <v>571.42857142857144</v>
      </c>
      <c r="H159" s="3">
        <v>1</v>
      </c>
      <c r="I159" s="3">
        <v>0</v>
      </c>
      <c r="J159" s="3">
        <v>0</v>
      </c>
      <c r="K159" s="3">
        <v>0.19</v>
      </c>
      <c r="L159" s="15">
        <v>-1000</v>
      </c>
      <c r="M159" s="10">
        <f t="shared" si="40"/>
        <v>108.57142857142857</v>
      </c>
      <c r="N159" s="3">
        <f>(DATE(2011,11,18)-D159)/365</f>
        <v>1.0410958904109588</v>
      </c>
      <c r="O159" s="12">
        <f t="shared" si="41"/>
        <v>-0.89142857142857146</v>
      </c>
      <c r="P159" s="12">
        <f t="shared" si="42"/>
        <v>-0.88148333775726684</v>
      </c>
      <c r="Q159" s="9" t="s">
        <v>346</v>
      </c>
      <c r="R159" t="s">
        <v>217</v>
      </c>
    </row>
    <row r="160" spans="1:18" x14ac:dyDescent="0.25">
      <c r="A160" t="s">
        <v>187</v>
      </c>
      <c r="B160" t="s">
        <v>354</v>
      </c>
      <c r="C160" t="s">
        <v>10</v>
      </c>
      <c r="D160" s="2">
        <v>40485</v>
      </c>
      <c r="E160" s="13">
        <f t="shared" si="37"/>
        <v>41354.595205479454</v>
      </c>
      <c r="F160" s="3">
        <v>7.46</v>
      </c>
      <c r="G160" s="3">
        <f t="shared" si="22"/>
        <v>134.04825737265415</v>
      </c>
      <c r="H160" s="3">
        <v>1</v>
      </c>
      <c r="I160" s="3">
        <v>0</v>
      </c>
      <c r="J160" s="3">
        <v>0</v>
      </c>
      <c r="K160" s="3">
        <v>11.14</v>
      </c>
      <c r="L160" s="15">
        <v>-1000</v>
      </c>
      <c r="M160" s="10">
        <f t="shared" si="40"/>
        <v>1493.2975871313672</v>
      </c>
      <c r="N160" s="3">
        <f>(DATE(2013,3,21)-D160)/365</f>
        <v>2.3808219178082193</v>
      </c>
      <c r="O160" s="12">
        <f t="shared" si="41"/>
        <v>0.49329758713136723</v>
      </c>
      <c r="P160" s="12">
        <f t="shared" si="42"/>
        <v>0.18343791905600115</v>
      </c>
      <c r="Q160" s="9" t="s">
        <v>346</v>
      </c>
      <c r="R160" t="s">
        <v>490</v>
      </c>
    </row>
    <row r="161" spans="1:18" x14ac:dyDescent="0.25">
      <c r="A161" t="s">
        <v>188</v>
      </c>
      <c r="B161" t="s">
        <v>355</v>
      </c>
      <c r="C161" t="s">
        <v>10</v>
      </c>
      <c r="D161" s="2">
        <v>40485</v>
      </c>
      <c r="E161" s="13">
        <f t="shared" si="37"/>
        <v>40939.310958904112</v>
      </c>
      <c r="F161" s="3">
        <v>7.07</v>
      </c>
      <c r="G161" s="3">
        <f t="shared" si="22"/>
        <v>141.44271570014143</v>
      </c>
      <c r="H161" s="3">
        <v>1</v>
      </c>
      <c r="I161" s="3">
        <v>0</v>
      </c>
      <c r="J161" s="3">
        <v>0</v>
      </c>
      <c r="K161" s="3">
        <v>11.93</v>
      </c>
      <c r="L161" s="15">
        <v>-1000</v>
      </c>
      <c r="M161" s="10">
        <f t="shared" si="40"/>
        <v>1687.4115983026873</v>
      </c>
      <c r="N161" s="3">
        <f>(DATE(2012,1,31)-D161)/365</f>
        <v>1.2438356164383562</v>
      </c>
      <c r="O161" s="12">
        <f t="shared" si="41"/>
        <v>0.68741159830268728</v>
      </c>
      <c r="P161" s="12">
        <f t="shared" si="42"/>
        <v>0.52292213930964349</v>
      </c>
      <c r="Q161" s="9" t="s">
        <v>346</v>
      </c>
      <c r="R161" t="s">
        <v>220</v>
      </c>
    </row>
    <row r="162" spans="1:18" x14ac:dyDescent="0.25">
      <c r="A162" t="s">
        <v>189</v>
      </c>
      <c r="B162" t="s">
        <v>356</v>
      </c>
      <c r="C162" t="s">
        <v>10</v>
      </c>
      <c r="D162" s="2">
        <v>40485</v>
      </c>
      <c r="E162" s="13">
        <f t="shared" si="37"/>
        <v>40939.310958904112</v>
      </c>
      <c r="F162" s="3">
        <v>2.75</v>
      </c>
      <c r="G162" s="3">
        <f t="shared" si="22"/>
        <v>363.63636363636363</v>
      </c>
      <c r="H162" s="3">
        <v>1</v>
      </c>
      <c r="I162" s="3">
        <v>0</v>
      </c>
      <c r="J162" s="3">
        <v>0</v>
      </c>
      <c r="K162" s="3">
        <v>2.67</v>
      </c>
      <c r="L162" s="15">
        <v>-1000</v>
      </c>
      <c r="M162" s="10">
        <f>1000/F162*K162</f>
        <v>970.90909090909088</v>
      </c>
      <c r="N162" s="3">
        <f>(DATE(2012,1,31)-D162)/365</f>
        <v>1.2438356164383562</v>
      </c>
      <c r="O162" s="12">
        <f t="shared" si="41"/>
        <v>-2.9090909090909122E-2</v>
      </c>
      <c r="P162" s="12">
        <f t="shared" si="42"/>
        <v>-2.3455540960715893E-2</v>
      </c>
      <c r="Q162" s="9" t="s">
        <v>346</v>
      </c>
      <c r="R162" t="s">
        <v>219</v>
      </c>
    </row>
    <row r="163" spans="1:18" x14ac:dyDescent="0.25">
      <c r="A163" t="s">
        <v>190</v>
      </c>
      <c r="B163" t="s">
        <v>413</v>
      </c>
      <c r="C163" t="s">
        <v>10</v>
      </c>
      <c r="D163" s="2">
        <v>40492</v>
      </c>
      <c r="E163" s="13">
        <f t="shared" si="37"/>
        <v>40994.343835616441</v>
      </c>
      <c r="F163" s="3">
        <v>4.5999999999999996</v>
      </c>
      <c r="G163" s="3">
        <f t="shared" si="22"/>
        <v>217.39130434782609</v>
      </c>
      <c r="H163" s="3">
        <v>1</v>
      </c>
      <c r="I163" s="3">
        <v>0</v>
      </c>
      <c r="J163" s="3">
        <v>0</v>
      </c>
      <c r="K163" s="3">
        <v>0.8</v>
      </c>
      <c r="L163" s="15">
        <v>-1000</v>
      </c>
      <c r="M163" s="10">
        <f>1000/F163*K163</f>
        <v>173.91304347826087</v>
      </c>
      <c r="N163" s="3">
        <f>(DATE(2012,3,26)-D163)/365</f>
        <v>1.3753424657534246</v>
      </c>
      <c r="O163" s="12">
        <f t="shared" si="41"/>
        <v>-0.82608695652173914</v>
      </c>
      <c r="P163" s="12">
        <f t="shared" si="42"/>
        <v>-0.71968143199925549</v>
      </c>
      <c r="Q163" s="9" t="s">
        <v>414</v>
      </c>
      <c r="R163" t="s">
        <v>415</v>
      </c>
    </row>
    <row r="164" spans="1:18" x14ac:dyDescent="0.25">
      <c r="A164" t="s">
        <v>191</v>
      </c>
      <c r="B164" t="s">
        <v>357</v>
      </c>
      <c r="C164" t="s">
        <v>10</v>
      </c>
      <c r="D164" s="2">
        <v>40527</v>
      </c>
      <c r="E164" s="13">
        <f t="shared" si="37"/>
        <v>41256.49931506849</v>
      </c>
      <c r="F164" s="3">
        <v>1.76</v>
      </c>
      <c r="G164" s="3">
        <f t="shared" si="22"/>
        <v>568.18181818181813</v>
      </c>
      <c r="H164" s="3">
        <v>1</v>
      </c>
      <c r="I164" s="3">
        <v>0</v>
      </c>
      <c r="J164" s="3">
        <v>0</v>
      </c>
      <c r="K164" s="3">
        <v>2.88</v>
      </c>
      <c r="L164" s="15">
        <v>-1000</v>
      </c>
      <c r="M164" s="10">
        <f>1000/F164*K164</f>
        <v>1636.3636363636363</v>
      </c>
      <c r="N164" s="3">
        <f>(DATE(2012,12,13)-D164)/365</f>
        <v>1.9972602739726026</v>
      </c>
      <c r="O164" s="12">
        <f t="shared" ref="O164:O171" si="43">(M164-1000)/1000</f>
        <v>0.63636363636363624</v>
      </c>
      <c r="P164" s="12">
        <f t="shared" ref="P164:P171" si="44">(M164/1000)^(1/N164)-1</f>
        <v>0.27963645481677535</v>
      </c>
      <c r="Q164" s="9" t="s">
        <v>358</v>
      </c>
      <c r="R164" t="s">
        <v>491</v>
      </c>
    </row>
    <row r="165" spans="1:18" x14ac:dyDescent="0.25">
      <c r="A165" t="s">
        <v>193</v>
      </c>
      <c r="B165" t="s">
        <v>359</v>
      </c>
      <c r="C165" t="s">
        <v>10</v>
      </c>
      <c r="D165" s="2">
        <v>40556</v>
      </c>
      <c r="E165" s="13">
        <f t="shared" ca="1" si="37"/>
        <v>41623.730821917808</v>
      </c>
      <c r="F165" s="3">
        <v>10.84</v>
      </c>
      <c r="G165" s="3">
        <f t="shared" si="22"/>
        <v>92.250922509225092</v>
      </c>
      <c r="H165" s="3">
        <v>1</v>
      </c>
      <c r="I165" s="3">
        <f>G165*(0.039+0.134)</f>
        <v>15.959409594095943</v>
      </c>
      <c r="J165" s="3">
        <v>0</v>
      </c>
      <c r="K165" s="3">
        <v>16.89</v>
      </c>
      <c r="L165" s="15">
        <v>-1000</v>
      </c>
      <c r="M165" s="10">
        <f>G165*H165*K165+(I165)+(J165)</f>
        <v>1574.0774907749078</v>
      </c>
      <c r="N165" s="3">
        <f t="shared" ref="N165:N170" ca="1" si="45">($Z$17-D165)/365</f>
        <v>2.9232876712328766</v>
      </c>
      <c r="O165" s="12">
        <f t="shared" si="43"/>
        <v>0.57407749077490777</v>
      </c>
      <c r="P165" s="12">
        <f t="shared" ca="1" si="44"/>
        <v>0.16788158178663593</v>
      </c>
      <c r="Q165" s="9" t="s">
        <v>360</v>
      </c>
    </row>
    <row r="166" spans="1:18" x14ac:dyDescent="0.25">
      <c r="A166" t="s">
        <v>194</v>
      </c>
      <c r="B166" t="s">
        <v>361</v>
      </c>
      <c r="C166" t="s">
        <v>10</v>
      </c>
      <c r="D166" s="2">
        <v>40556</v>
      </c>
      <c r="E166" s="13">
        <f t="shared" ca="1" si="37"/>
        <v>41623.730821917808</v>
      </c>
      <c r="F166" s="3">
        <v>10.76</v>
      </c>
      <c r="G166" s="3">
        <f t="shared" ref="G166:G212" si="46">1000/F166</f>
        <v>92.936802973977692</v>
      </c>
      <c r="H166" s="3">
        <v>1</v>
      </c>
      <c r="I166" s="3">
        <f>G166*(0.224+0.333)</f>
        <v>51.765799256505581</v>
      </c>
      <c r="J166" s="3">
        <v>0</v>
      </c>
      <c r="K166" s="3">
        <v>17.71</v>
      </c>
      <c r="L166" s="15">
        <v>-1000</v>
      </c>
      <c r="M166" s="10">
        <f>G166*H166*K166+(I166)+(J166)</f>
        <v>1697.6765799256505</v>
      </c>
      <c r="N166" s="3">
        <f t="shared" ca="1" si="45"/>
        <v>2.9232876712328766</v>
      </c>
      <c r="O166" s="12">
        <f t="shared" si="43"/>
        <v>0.69767657992565046</v>
      </c>
      <c r="P166" s="12">
        <f t="shared" ca="1" si="44"/>
        <v>0.19847484149656291</v>
      </c>
      <c r="Q166" s="9" t="s">
        <v>360</v>
      </c>
    </row>
    <row r="167" spans="1:18" x14ac:dyDescent="0.25">
      <c r="A167" t="s">
        <v>195</v>
      </c>
      <c r="B167" t="s">
        <v>362</v>
      </c>
      <c r="C167" t="s">
        <v>10</v>
      </c>
      <c r="D167" s="2">
        <v>40556</v>
      </c>
      <c r="E167" s="13">
        <f t="shared" ca="1" si="37"/>
        <v>41623.730821917808</v>
      </c>
      <c r="F167" s="3">
        <v>10.32</v>
      </c>
      <c r="G167" s="3">
        <f t="shared" si="46"/>
        <v>96.899224806201545</v>
      </c>
      <c r="H167" s="3">
        <v>1</v>
      </c>
      <c r="I167" s="3">
        <f>G167*(0.17+0.182)</f>
        <v>34.108527131782942</v>
      </c>
      <c r="J167" s="3">
        <v>0</v>
      </c>
      <c r="K167" s="3">
        <v>11.49</v>
      </c>
      <c r="L167" s="15">
        <v>-1000</v>
      </c>
      <c r="M167" s="10">
        <f>G167*H167*K167+(I167)+(J167)</f>
        <v>1147.4806201550387</v>
      </c>
      <c r="N167" s="3">
        <f t="shared" ca="1" si="45"/>
        <v>2.9232876712328766</v>
      </c>
      <c r="O167" s="12">
        <f t="shared" si="43"/>
        <v>0.14748062015503866</v>
      </c>
      <c r="P167" s="12">
        <f t="shared" ca="1" si="44"/>
        <v>4.8184488178949048E-2</v>
      </c>
      <c r="Q167" s="9" t="s">
        <v>360</v>
      </c>
    </row>
    <row r="168" spans="1:18" x14ac:dyDescent="0.25">
      <c r="A168" t="s">
        <v>196</v>
      </c>
      <c r="B168" t="s">
        <v>363</v>
      </c>
      <c r="C168" t="s">
        <v>10</v>
      </c>
      <c r="D168" s="2">
        <v>40556</v>
      </c>
      <c r="E168" s="13">
        <f t="shared" ca="1" si="37"/>
        <v>41623.730821917808</v>
      </c>
      <c r="F168" s="3">
        <v>10.38</v>
      </c>
      <c r="G168" s="3">
        <f t="shared" si="46"/>
        <v>96.339113680154142</v>
      </c>
      <c r="H168" s="3">
        <v>1</v>
      </c>
      <c r="I168" s="3">
        <f>G168*(0.121+0.201)</f>
        <v>31.021194605009633</v>
      </c>
      <c r="J168" s="3">
        <v>0</v>
      </c>
      <c r="K168" s="3">
        <v>10.15</v>
      </c>
      <c r="L168" s="15">
        <v>-1000</v>
      </c>
      <c r="M168" s="10">
        <f>G168*H168*K168+(I168)+(J168)</f>
        <v>1008.8631984585743</v>
      </c>
      <c r="N168" s="3">
        <f t="shared" ca="1" si="45"/>
        <v>2.9232876712328766</v>
      </c>
      <c r="O168" s="12">
        <f t="shared" si="43"/>
        <v>8.8631984585742889E-3</v>
      </c>
      <c r="P168" s="12">
        <f t="shared" ca="1" si="44"/>
        <v>3.0231312948503231E-3</v>
      </c>
      <c r="Q168" s="9" t="s">
        <v>360</v>
      </c>
    </row>
    <row r="169" spans="1:18" x14ac:dyDescent="0.25">
      <c r="A169" t="s">
        <v>199</v>
      </c>
      <c r="B169" t="s">
        <v>364</v>
      </c>
      <c r="C169" t="s">
        <v>10</v>
      </c>
      <c r="D169" s="2">
        <v>40585</v>
      </c>
      <c r="E169" s="13">
        <f t="shared" ca="1" si="37"/>
        <v>41623.710958904107</v>
      </c>
      <c r="F169" s="3">
        <v>2.65</v>
      </c>
      <c r="G169" s="3">
        <f t="shared" si="46"/>
        <v>377.35849056603774</v>
      </c>
      <c r="H169" s="3">
        <v>0.125</v>
      </c>
      <c r="I169" s="3">
        <v>0</v>
      </c>
      <c r="J169" s="3">
        <v>0</v>
      </c>
      <c r="K169" s="3">
        <f>'Data (ignore)'!B868</f>
        <v>6.38</v>
      </c>
      <c r="L169" s="15">
        <v>-1000</v>
      </c>
      <c r="M169" s="10">
        <f>G169*H169*K169+(I169)+(J169)</f>
        <v>300.94339622641508</v>
      </c>
      <c r="N169" s="3">
        <f t="shared" ca="1" si="45"/>
        <v>2.8438356164383563</v>
      </c>
      <c r="O169" s="12">
        <f t="shared" si="43"/>
        <v>-0.69905660377358492</v>
      </c>
      <c r="P169" s="12">
        <f t="shared" ca="1" si="44"/>
        <v>-0.34443528981155058</v>
      </c>
      <c r="Q169" s="9" t="s">
        <v>365</v>
      </c>
    </row>
    <row r="170" spans="1:18" x14ac:dyDescent="0.25">
      <c r="A170" t="s">
        <v>201</v>
      </c>
      <c r="B170" t="s">
        <v>366</v>
      </c>
      <c r="C170" t="s">
        <v>10</v>
      </c>
      <c r="D170" s="2">
        <v>40592</v>
      </c>
      <c r="E170" s="13">
        <f t="shared" ca="1" si="37"/>
        <v>41623.706164383562</v>
      </c>
      <c r="F170" s="3">
        <v>11.9</v>
      </c>
      <c r="G170" s="3">
        <f t="shared" si="46"/>
        <v>84.033613445378151</v>
      </c>
      <c r="H170" s="3">
        <v>1</v>
      </c>
      <c r="I170" s="3">
        <v>0</v>
      </c>
      <c r="J170" s="3">
        <v>0</v>
      </c>
      <c r="K170" s="3">
        <f>'Data (ignore)'!B884</f>
        <v>12.87</v>
      </c>
      <c r="L170" s="15">
        <v>-1000</v>
      </c>
      <c r="M170" s="10">
        <f>G170/2*17.3+G170/2*K170</f>
        <v>1267.6470588235293</v>
      </c>
      <c r="N170" s="3">
        <f t="shared" ca="1" si="45"/>
        <v>2.8246575342465752</v>
      </c>
      <c r="O170" s="12">
        <f t="shared" si="43"/>
        <v>0.26764705882352929</v>
      </c>
      <c r="P170" s="12">
        <f t="shared" ca="1" si="44"/>
        <v>8.758701664088564E-2</v>
      </c>
      <c r="Q170" s="9" t="s">
        <v>367</v>
      </c>
      <c r="R170" t="s">
        <v>380</v>
      </c>
    </row>
    <row r="171" spans="1:18" x14ac:dyDescent="0.25">
      <c r="A171" t="s">
        <v>202</v>
      </c>
      <c r="B171" t="s">
        <v>368</v>
      </c>
      <c r="C171" t="s">
        <v>10</v>
      </c>
      <c r="D171" s="2">
        <v>40626</v>
      </c>
      <c r="E171" s="13">
        <f t="shared" si="37"/>
        <v>40662.525000000001</v>
      </c>
      <c r="F171" s="3">
        <v>7.44</v>
      </c>
      <c r="G171" s="3">
        <f t="shared" si="46"/>
        <v>134.40860215053763</v>
      </c>
      <c r="H171" s="3">
        <v>1</v>
      </c>
      <c r="I171" s="3">
        <v>0</v>
      </c>
      <c r="J171" s="3">
        <v>0</v>
      </c>
      <c r="K171" s="3">
        <v>18.53</v>
      </c>
      <c r="L171" s="15">
        <v>-1000</v>
      </c>
      <c r="M171" s="10">
        <f>(G171/2*16.19)+(G171/2*18.53)</f>
        <v>2333.333333333333</v>
      </c>
      <c r="N171" s="3">
        <v>0.1</v>
      </c>
      <c r="O171" s="12">
        <f t="shared" si="43"/>
        <v>1.333333333333333</v>
      </c>
      <c r="P171" s="12">
        <f t="shared" si="44"/>
        <v>4782.7431455232027</v>
      </c>
      <c r="Q171" s="9" t="s">
        <v>369</v>
      </c>
      <c r="R171" t="s">
        <v>206</v>
      </c>
    </row>
    <row r="172" spans="1:18" x14ac:dyDescent="0.25">
      <c r="A172" t="s">
        <v>549</v>
      </c>
      <c r="B172" t="s">
        <v>548</v>
      </c>
      <c r="C172" t="s">
        <v>10</v>
      </c>
      <c r="D172" s="2">
        <v>40644</v>
      </c>
      <c r="E172" s="13">
        <f t="shared" ca="1" si="37"/>
        <v>41623.670547945207</v>
      </c>
      <c r="F172" s="3">
        <v>0.37</v>
      </c>
      <c r="G172" s="3">
        <f t="shared" si="46"/>
        <v>2702.7027027027029</v>
      </c>
      <c r="H172" s="3">
        <v>0.02</v>
      </c>
      <c r="I172" s="3">
        <v>0</v>
      </c>
      <c r="J172" s="3">
        <v>0</v>
      </c>
      <c r="K172" s="3">
        <f>K193</f>
        <v>17.05</v>
      </c>
      <c r="L172" s="15">
        <v>-1000</v>
      </c>
      <c r="M172" s="10">
        <f>G172*H172*K172+(I172)+(J172)</f>
        <v>921.62162162162178</v>
      </c>
      <c r="N172" s="3">
        <f ca="1">($Z$17-D172)/365</f>
        <v>2.6821917808219178</v>
      </c>
      <c r="O172" s="12">
        <f>(M172-1000)/1000</f>
        <v>-7.8378378378378216E-2</v>
      </c>
      <c r="P172" s="12">
        <f ca="1">(M172/1000)^(1/N172)-1</f>
        <v>-2.9972186383980137E-2</v>
      </c>
      <c r="Q172" s="9" t="s">
        <v>370</v>
      </c>
    </row>
    <row r="173" spans="1:18" x14ac:dyDescent="0.25">
      <c r="A173" t="s">
        <v>204</v>
      </c>
      <c r="B173" t="s">
        <v>371</v>
      </c>
      <c r="C173" t="s">
        <v>10</v>
      </c>
      <c r="D173" s="2">
        <v>40658</v>
      </c>
      <c r="E173" s="13">
        <f t="shared" si="37"/>
        <v>41348.472602739726</v>
      </c>
      <c r="F173" s="3">
        <v>1.1599999999999999</v>
      </c>
      <c r="G173" s="3">
        <f t="shared" si="46"/>
        <v>862.06896551724139</v>
      </c>
      <c r="H173" s="3">
        <v>1</v>
      </c>
      <c r="I173" s="3">
        <v>0</v>
      </c>
      <c r="J173" s="3">
        <v>0</v>
      </c>
      <c r="K173" s="3">
        <v>0.14000000000000001</v>
      </c>
      <c r="L173" s="15">
        <v>-1000</v>
      </c>
      <c r="M173" s="10">
        <f t="shared" ref="M173:M182" si="47">G173*H173*K173+(I173)+(J173)</f>
        <v>120.68965517241381</v>
      </c>
      <c r="N173" s="3">
        <f>(DATE(2013,3,15)-D173)/365</f>
        <v>1.8904109589041096</v>
      </c>
      <c r="O173" s="12">
        <f t="shared" ref="O173:O182" si="48">(M173-1000)/1000</f>
        <v>-0.87931034482758619</v>
      </c>
      <c r="P173" s="12">
        <f t="shared" ref="P173:P182" si="49">(M173/1000)^(1/N173)-1</f>
        <v>-0.67324912164489192</v>
      </c>
      <c r="Q173" s="9" t="s">
        <v>372</v>
      </c>
      <c r="R173" t="s">
        <v>504</v>
      </c>
    </row>
    <row r="174" spans="1:18" x14ac:dyDescent="0.25">
      <c r="A174" t="s">
        <v>205</v>
      </c>
      <c r="B174" t="s">
        <v>374</v>
      </c>
      <c r="C174" t="s">
        <v>10</v>
      </c>
      <c r="D174" s="2">
        <v>40680</v>
      </c>
      <c r="E174" s="13">
        <f t="shared" si="37"/>
        <v>41023.23493150685</v>
      </c>
      <c r="F174" s="3">
        <v>5.48</v>
      </c>
      <c r="G174" s="3">
        <f t="shared" si="46"/>
        <v>182.48175182481751</v>
      </c>
      <c r="H174" s="3">
        <v>1</v>
      </c>
      <c r="I174" s="3">
        <v>0</v>
      </c>
      <c r="J174" s="3">
        <v>0</v>
      </c>
      <c r="K174" s="3">
        <v>1.72</v>
      </c>
      <c r="L174" s="15">
        <v>-1000</v>
      </c>
      <c r="M174" s="10">
        <f t="shared" si="47"/>
        <v>313.8686131386861</v>
      </c>
      <c r="N174" s="3">
        <f>(DATE(2012,4,24)-D174)/365</f>
        <v>0.9397260273972603</v>
      </c>
      <c r="O174" s="12">
        <f t="shared" si="48"/>
        <v>-0.68613138686131392</v>
      </c>
      <c r="P174" s="12">
        <f t="shared" si="49"/>
        <v>-0.70861356683345156</v>
      </c>
      <c r="Q174" s="9" t="s">
        <v>373</v>
      </c>
      <c r="R174" t="s">
        <v>492</v>
      </c>
    </row>
    <row r="175" spans="1:18" x14ac:dyDescent="0.25">
      <c r="A175" t="s">
        <v>124</v>
      </c>
      <c r="B175" t="s">
        <v>411</v>
      </c>
      <c r="C175" t="s">
        <v>10</v>
      </c>
      <c r="D175" s="2">
        <v>40689</v>
      </c>
      <c r="E175" s="13">
        <f t="shared" si="37"/>
        <v>41248.382876712327</v>
      </c>
      <c r="F175" s="3">
        <v>2.31</v>
      </c>
      <c r="G175" s="3">
        <f t="shared" si="46"/>
        <v>432.90043290043292</v>
      </c>
      <c r="H175" s="3">
        <v>1</v>
      </c>
      <c r="I175" s="3">
        <v>0</v>
      </c>
      <c r="J175" s="3">
        <v>0</v>
      </c>
      <c r="K175" s="3">
        <v>11.9</v>
      </c>
      <c r="L175" s="15">
        <v>-1000</v>
      </c>
      <c r="M175" s="10">
        <f t="shared" si="47"/>
        <v>5151.515151515152</v>
      </c>
      <c r="N175" s="3">
        <f>((DATE(2012,12,5))-D175)/365</f>
        <v>1.5315068493150685</v>
      </c>
      <c r="O175" s="12">
        <f t="shared" si="48"/>
        <v>4.1515151515151523</v>
      </c>
      <c r="P175" s="12">
        <f t="shared" si="49"/>
        <v>1.9164810308995381</v>
      </c>
      <c r="Q175" s="9" t="s">
        <v>412</v>
      </c>
    </row>
    <row r="176" spans="1:18" x14ac:dyDescent="0.25">
      <c r="A176" t="s">
        <v>147</v>
      </c>
      <c r="B176" t="s">
        <v>309</v>
      </c>
      <c r="C176" t="s">
        <v>10</v>
      </c>
      <c r="D176" s="2">
        <v>40702</v>
      </c>
      <c r="E176" s="13">
        <f t="shared" ca="1" si="37"/>
        <v>41623.63082191781</v>
      </c>
      <c r="F176" s="3">
        <v>5.52</v>
      </c>
      <c r="G176" s="3">
        <f t="shared" si="46"/>
        <v>181.15942028985509</v>
      </c>
      <c r="H176" s="3">
        <v>1</v>
      </c>
      <c r="I176" s="3">
        <f>G176*(0.021*5+0.25)</f>
        <v>64.311594202898561</v>
      </c>
      <c r="J176" s="3">
        <v>0</v>
      </c>
      <c r="K176" s="3">
        <f>K182</f>
        <v>8.5500000000000007</v>
      </c>
      <c r="L176" s="15">
        <v>-1000</v>
      </c>
      <c r="M176" s="10">
        <f t="shared" si="47"/>
        <v>1613.2246376811597</v>
      </c>
      <c r="N176" s="3">
        <f ca="1">($Z$17-D176)/365</f>
        <v>2.5232876712328767</v>
      </c>
      <c r="O176" s="12">
        <f t="shared" si="48"/>
        <v>0.61322463768115976</v>
      </c>
      <c r="P176" s="12">
        <f t="shared" ca="1" si="49"/>
        <v>0.20867963268511902</v>
      </c>
      <c r="Q176" s="9" t="s">
        <v>438</v>
      </c>
      <c r="R176" t="s">
        <v>207</v>
      </c>
    </row>
    <row r="177" spans="1:18" x14ac:dyDescent="0.25">
      <c r="A177" t="s">
        <v>204</v>
      </c>
      <c r="B177" t="s">
        <v>371</v>
      </c>
      <c r="C177" t="s">
        <v>10</v>
      </c>
      <c r="D177" s="2">
        <v>40722</v>
      </c>
      <c r="E177" s="13">
        <f t="shared" si="37"/>
        <v>41348.428767123289</v>
      </c>
      <c r="F177" s="3">
        <v>0.85</v>
      </c>
      <c r="G177" s="3">
        <f t="shared" si="46"/>
        <v>1176.4705882352941</v>
      </c>
      <c r="H177" s="3">
        <v>1</v>
      </c>
      <c r="I177" s="3">
        <v>0</v>
      </c>
      <c r="J177" s="3">
        <v>0</v>
      </c>
      <c r="K177" s="3">
        <v>0.14000000000000001</v>
      </c>
      <c r="L177" s="15">
        <v>-1000</v>
      </c>
      <c r="M177" s="10">
        <f t="shared" si="47"/>
        <v>164.70588235294119</v>
      </c>
      <c r="N177" s="3">
        <f>(DATE(2013,3,15)-D177)/365</f>
        <v>1.715068493150685</v>
      </c>
      <c r="O177" s="12">
        <f t="shared" si="48"/>
        <v>-0.83529411764705874</v>
      </c>
      <c r="P177" s="12">
        <f t="shared" si="49"/>
        <v>-0.65062738698984535</v>
      </c>
      <c r="Q177" s="9" t="s">
        <v>375</v>
      </c>
      <c r="R177" t="s">
        <v>504</v>
      </c>
    </row>
    <row r="178" spans="1:18" x14ac:dyDescent="0.25">
      <c r="A178" t="s">
        <v>209</v>
      </c>
      <c r="B178" t="s">
        <v>376</v>
      </c>
      <c r="C178" t="s">
        <v>10</v>
      </c>
      <c r="D178" s="2">
        <v>40729</v>
      </c>
      <c r="E178" s="13">
        <f t="shared" ca="1" si="37"/>
        <v>41623.612328767122</v>
      </c>
      <c r="F178" s="3">
        <v>1.77</v>
      </c>
      <c r="G178" s="3">
        <f t="shared" si="46"/>
        <v>564.9717514124294</v>
      </c>
      <c r="H178" s="3">
        <v>1</v>
      </c>
      <c r="I178" s="3">
        <v>0</v>
      </c>
      <c r="J178" s="3">
        <v>0</v>
      </c>
      <c r="K178" s="3">
        <f>'Data (ignore)'!B916</f>
        <v>0.77</v>
      </c>
      <c r="L178" s="15">
        <v>-1000</v>
      </c>
      <c r="M178" s="10">
        <f t="shared" si="47"/>
        <v>435.02824858757066</v>
      </c>
      <c r="N178" s="3">
        <f ca="1">($Z$17-D178)/365</f>
        <v>2.4493150684931506</v>
      </c>
      <c r="O178" s="12">
        <f t="shared" si="48"/>
        <v>-0.56497175141242928</v>
      </c>
      <c r="P178" s="12">
        <f t="shared" ca="1" si="49"/>
        <v>-0.2881067974093322</v>
      </c>
      <c r="Q178" s="9" t="s">
        <v>377</v>
      </c>
      <c r="R178" t="s">
        <v>493</v>
      </c>
    </row>
    <row r="179" spans="1:18" x14ac:dyDescent="0.25">
      <c r="A179" t="s">
        <v>210</v>
      </c>
      <c r="B179" t="s">
        <v>378</v>
      </c>
      <c r="C179" t="s">
        <v>10</v>
      </c>
      <c r="D179" s="2">
        <v>40729</v>
      </c>
      <c r="E179" s="13">
        <f t="shared" ca="1" si="37"/>
        <v>41623.612328767122</v>
      </c>
      <c r="F179" s="3">
        <v>2.77</v>
      </c>
      <c r="G179" s="3">
        <f t="shared" si="46"/>
        <v>361.01083032490976</v>
      </c>
      <c r="H179" s="3">
        <v>1</v>
      </c>
      <c r="I179" s="3">
        <v>0</v>
      </c>
      <c r="J179" s="3">
        <v>0</v>
      </c>
      <c r="K179" s="3">
        <f>'Data (ignore)'!B932</f>
        <v>1.67</v>
      </c>
      <c r="L179" s="15">
        <v>-1000</v>
      </c>
      <c r="M179" s="10">
        <f t="shared" si="47"/>
        <v>602.88808664259932</v>
      </c>
      <c r="N179" s="3">
        <f t="shared" ref="N179:N212" ca="1" si="50">($Z$17-D179)/365</f>
        <v>2.4493150684931506</v>
      </c>
      <c r="O179" s="12">
        <f t="shared" si="48"/>
        <v>-0.3971119133574007</v>
      </c>
      <c r="P179" s="12">
        <f t="shared" ca="1" si="49"/>
        <v>-0.18665348336877607</v>
      </c>
      <c r="Q179" s="9" t="s">
        <v>377</v>
      </c>
    </row>
    <row r="180" spans="1:18" x14ac:dyDescent="0.25">
      <c r="A180" t="s">
        <v>210</v>
      </c>
      <c r="B180" t="s">
        <v>378</v>
      </c>
      <c r="C180" t="s">
        <v>10</v>
      </c>
      <c r="D180" s="2">
        <v>40745</v>
      </c>
      <c r="E180" s="13">
        <f t="shared" ca="1" si="37"/>
        <v>41623.601369863012</v>
      </c>
      <c r="F180" s="3">
        <v>2.58</v>
      </c>
      <c r="G180" s="3">
        <f t="shared" si="46"/>
        <v>387.59689922480618</v>
      </c>
      <c r="H180" s="3">
        <v>1</v>
      </c>
      <c r="I180" s="3">
        <v>0</v>
      </c>
      <c r="J180" s="3">
        <v>0</v>
      </c>
      <c r="K180" s="3">
        <f>'Data (ignore)'!B932</f>
        <v>1.67</v>
      </c>
      <c r="L180" s="15">
        <v>-1000</v>
      </c>
      <c r="M180" s="10">
        <f t="shared" si="47"/>
        <v>647.28682170542629</v>
      </c>
      <c r="N180" s="3">
        <f t="shared" ca="1" si="50"/>
        <v>2.4054794520547946</v>
      </c>
      <c r="O180" s="12">
        <f t="shared" si="48"/>
        <v>-0.35271317829457371</v>
      </c>
      <c r="P180" s="12">
        <f t="shared" ca="1" si="49"/>
        <v>-0.16541685044210819</v>
      </c>
      <c r="Q180" s="9" t="s">
        <v>379</v>
      </c>
      <c r="R180" t="s">
        <v>216</v>
      </c>
    </row>
    <row r="181" spans="1:18" x14ac:dyDescent="0.25">
      <c r="A181" t="s">
        <v>211</v>
      </c>
      <c r="B181" t="s">
        <v>381</v>
      </c>
      <c r="C181" t="s">
        <v>10</v>
      </c>
      <c r="D181" s="2">
        <v>40759</v>
      </c>
      <c r="E181" s="13">
        <f t="shared" ca="1" si="37"/>
        <v>41623.591780821916</v>
      </c>
      <c r="F181" s="3">
        <v>6.19</v>
      </c>
      <c r="G181" s="3">
        <f t="shared" si="46"/>
        <v>161.55088852988689</v>
      </c>
      <c r="H181" s="3">
        <v>1</v>
      </c>
      <c r="I181" s="3">
        <v>0</v>
      </c>
      <c r="J181" s="3">
        <v>0</v>
      </c>
      <c r="K181" s="3">
        <f>K190</f>
        <v>2.99</v>
      </c>
      <c r="L181" s="15">
        <v>-1000</v>
      </c>
      <c r="M181" s="10">
        <f t="shared" si="47"/>
        <v>483.03715670436185</v>
      </c>
      <c r="N181" s="3">
        <f t="shared" ca="1" si="50"/>
        <v>2.3671232876712329</v>
      </c>
      <c r="O181" s="12">
        <f t="shared" si="48"/>
        <v>-0.51696284329563813</v>
      </c>
      <c r="P181" s="12">
        <f t="shared" ca="1" si="49"/>
        <v>-0.26464608592318717</v>
      </c>
      <c r="Q181" s="9" t="s">
        <v>382</v>
      </c>
    </row>
    <row r="182" spans="1:18" x14ac:dyDescent="0.25">
      <c r="A182" t="s">
        <v>147</v>
      </c>
      <c r="B182" t="s">
        <v>309</v>
      </c>
      <c r="C182" t="s">
        <v>10</v>
      </c>
      <c r="D182" s="2">
        <v>40764</v>
      </c>
      <c r="E182" s="13">
        <f t="shared" ca="1" si="37"/>
        <v>41623.588356164386</v>
      </c>
      <c r="F182" s="3">
        <v>4.7300000000000004</v>
      </c>
      <c r="G182" s="3">
        <f t="shared" si="46"/>
        <v>211.41649048625791</v>
      </c>
      <c r="H182" s="3">
        <v>1</v>
      </c>
      <c r="I182" s="3">
        <f>G182*(0.021*5+0.25)</f>
        <v>75.052854122621554</v>
      </c>
      <c r="J182" s="3">
        <v>0</v>
      </c>
      <c r="K182" s="3">
        <f>'Data (ignore)'!B708</f>
        <v>8.5500000000000007</v>
      </c>
      <c r="L182" s="15">
        <v>-1000</v>
      </c>
      <c r="M182" s="10">
        <f t="shared" si="47"/>
        <v>1882.6638477801268</v>
      </c>
      <c r="N182" s="3">
        <f t="shared" ca="1" si="50"/>
        <v>2.3534246575342466</v>
      </c>
      <c r="O182" s="12">
        <f t="shared" si="48"/>
        <v>0.88266384778012685</v>
      </c>
      <c r="P182" s="12">
        <f t="shared" ca="1" si="49"/>
        <v>0.30844189744661032</v>
      </c>
      <c r="Q182" s="9" t="s">
        <v>384</v>
      </c>
    </row>
    <row r="183" spans="1:18" x14ac:dyDescent="0.25">
      <c r="A183" t="s">
        <v>171</v>
      </c>
      <c r="B183" t="s">
        <v>332</v>
      </c>
      <c r="C183" t="s">
        <v>10</v>
      </c>
      <c r="D183" s="2">
        <v>40764</v>
      </c>
      <c r="E183" s="13">
        <f t="shared" ca="1" si="37"/>
        <v>41623.588356164386</v>
      </c>
      <c r="F183" s="3">
        <v>1.74</v>
      </c>
      <c r="G183" s="3">
        <f t="shared" si="46"/>
        <v>574.71264367816093</v>
      </c>
      <c r="H183" s="3">
        <v>1</v>
      </c>
      <c r="I183" s="3">
        <v>0</v>
      </c>
      <c r="J183" s="3">
        <v>0</v>
      </c>
      <c r="K183" s="3">
        <f>'Data (ignore)'!B804</f>
        <v>0.72</v>
      </c>
      <c r="L183" s="15">
        <v>-1000</v>
      </c>
      <c r="M183" s="10">
        <f t="shared" ref="M183:M188" si="51">G183*H183*K183+(I183)+(J183)</f>
        <v>413.79310344827587</v>
      </c>
      <c r="N183" s="3">
        <f t="shared" ca="1" si="50"/>
        <v>2.3534246575342466</v>
      </c>
      <c r="O183" s="12">
        <f t="shared" ref="O183:O192" si="52">(M183-1000)/1000</f>
        <v>-0.5862068965517242</v>
      </c>
      <c r="P183" s="12">
        <f t="shared" ref="P183:P192" ca="1" si="53">(M183/1000)^(1/N183)-1</f>
        <v>-0.31266835501806478</v>
      </c>
      <c r="Q183" s="9" t="s">
        <v>384</v>
      </c>
    </row>
    <row r="184" spans="1:18" x14ac:dyDescent="0.25">
      <c r="A184" t="s">
        <v>212</v>
      </c>
      <c r="B184" t="s">
        <v>385</v>
      </c>
      <c r="C184" t="s">
        <v>167</v>
      </c>
      <c r="D184" s="2">
        <v>40764</v>
      </c>
      <c r="E184" s="13">
        <f t="shared" ca="1" si="37"/>
        <v>41623.588356164386</v>
      </c>
      <c r="F184" s="3">
        <v>3.45</v>
      </c>
      <c r="G184" s="3">
        <f t="shared" si="46"/>
        <v>289.85507246376812</v>
      </c>
      <c r="H184" s="3">
        <v>1</v>
      </c>
      <c r="I184" s="3">
        <v>0</v>
      </c>
      <c r="J184" s="3">
        <v>0</v>
      </c>
      <c r="K184" s="3">
        <f>'Data (ignore)'!B964</f>
        <v>4.54</v>
      </c>
      <c r="L184" s="15">
        <v>-1000</v>
      </c>
      <c r="M184" s="10">
        <f t="shared" si="51"/>
        <v>1315.9420289855072</v>
      </c>
      <c r="N184" s="3">
        <f t="shared" ca="1" si="50"/>
        <v>2.3534246575342466</v>
      </c>
      <c r="O184" s="12">
        <f t="shared" si="52"/>
        <v>0.31594202898550727</v>
      </c>
      <c r="P184" s="12">
        <f t="shared" ca="1" si="53"/>
        <v>0.12373837340025373</v>
      </c>
      <c r="Q184" s="9" t="s">
        <v>384</v>
      </c>
    </row>
    <row r="185" spans="1:18" x14ac:dyDescent="0.25">
      <c r="A185" t="s">
        <v>165</v>
      </c>
      <c r="B185" t="s">
        <v>421</v>
      </c>
      <c r="C185" t="s">
        <v>10</v>
      </c>
      <c r="D185" s="2">
        <v>40767</v>
      </c>
      <c r="E185" s="13">
        <f t="shared" si="37"/>
        <v>40955.128767123286</v>
      </c>
      <c r="F185" s="3">
        <v>10.37</v>
      </c>
      <c r="G185" s="3">
        <f t="shared" si="46"/>
        <v>96.432015429122472</v>
      </c>
      <c r="H185" s="3">
        <v>1</v>
      </c>
      <c r="I185" s="3">
        <v>0</v>
      </c>
      <c r="J185" s="3">
        <v>0</v>
      </c>
      <c r="K185" s="3">
        <v>14.49</v>
      </c>
      <c r="L185" s="15">
        <v>-1000</v>
      </c>
      <c r="M185" s="10">
        <f t="shared" si="51"/>
        <v>1397.2999035679848</v>
      </c>
      <c r="N185" s="3">
        <f>(DATE(2012,2,16)-D185)/365</f>
        <v>0.51506849315068493</v>
      </c>
      <c r="O185" s="12">
        <f t="shared" si="52"/>
        <v>0.39729990356798478</v>
      </c>
      <c r="P185" s="12">
        <f t="shared" si="53"/>
        <v>0.91460094629749489</v>
      </c>
      <c r="Q185" s="9" t="s">
        <v>386</v>
      </c>
      <c r="R185" t="s">
        <v>222</v>
      </c>
    </row>
    <row r="186" spans="1:18" x14ac:dyDescent="0.25">
      <c r="A186" t="s">
        <v>213</v>
      </c>
      <c r="B186" t="s">
        <v>387</v>
      </c>
      <c r="C186" t="s">
        <v>10</v>
      </c>
      <c r="D186" s="2">
        <v>40799</v>
      </c>
      <c r="E186" s="13">
        <f t="shared" si="37"/>
        <v>40808.006164383565</v>
      </c>
      <c r="F186" s="3">
        <v>24.2</v>
      </c>
      <c r="G186" s="3">
        <f t="shared" si="46"/>
        <v>41.32231404958678</v>
      </c>
      <c r="H186" s="3">
        <v>1</v>
      </c>
      <c r="I186" s="3">
        <v>0</v>
      </c>
      <c r="J186" s="3">
        <v>0</v>
      </c>
      <c r="K186" s="3">
        <v>21.93</v>
      </c>
      <c r="L186" s="15">
        <v>-1000</v>
      </c>
      <c r="M186" s="10">
        <f t="shared" si="51"/>
        <v>906.19834710743805</v>
      </c>
      <c r="N186" s="3">
        <f>(DATE(2011,9,22)-D186)/365</f>
        <v>2.4657534246575342E-2</v>
      </c>
      <c r="O186" s="12">
        <f t="shared" si="52"/>
        <v>-9.380165289256194E-2</v>
      </c>
      <c r="P186" s="12">
        <f t="shared" si="53"/>
        <v>-0.98158525219317538</v>
      </c>
      <c r="Q186" s="9" t="s">
        <v>388</v>
      </c>
      <c r="R186" t="s">
        <v>214</v>
      </c>
    </row>
    <row r="187" spans="1:18" x14ac:dyDescent="0.25">
      <c r="A187" t="s">
        <v>211</v>
      </c>
      <c r="B187" t="s">
        <v>381</v>
      </c>
      <c r="C187" t="s">
        <v>10</v>
      </c>
      <c r="D187" s="2">
        <v>40809</v>
      </c>
      <c r="E187" s="13">
        <f t="shared" ca="1" si="37"/>
        <v>41623.557534246575</v>
      </c>
      <c r="F187" s="3">
        <v>2.69</v>
      </c>
      <c r="G187" s="3">
        <f t="shared" si="46"/>
        <v>371.74721189591077</v>
      </c>
      <c r="H187" s="3">
        <v>1</v>
      </c>
      <c r="I187" s="3">
        <v>0</v>
      </c>
      <c r="J187" s="3">
        <v>0</v>
      </c>
      <c r="K187" s="3">
        <f>K205</f>
        <v>2.99</v>
      </c>
      <c r="L187" s="15">
        <v>-1000</v>
      </c>
      <c r="M187" s="10">
        <f t="shared" si="51"/>
        <v>1111.5241635687732</v>
      </c>
      <c r="N187" s="3">
        <f t="shared" ca="1" si="50"/>
        <v>2.2301369863013698</v>
      </c>
      <c r="O187" s="12">
        <f t="shared" si="52"/>
        <v>0.11152416356877325</v>
      </c>
      <c r="P187" s="12">
        <f t="shared" ca="1" si="53"/>
        <v>4.8552485109477184E-2</v>
      </c>
      <c r="Q187" s="9" t="s">
        <v>389</v>
      </c>
    </row>
    <row r="188" spans="1:18" x14ac:dyDescent="0.25">
      <c r="A188" t="s">
        <v>215</v>
      </c>
      <c r="B188" t="s">
        <v>390</v>
      </c>
      <c r="C188" t="s">
        <v>10</v>
      </c>
      <c r="D188" s="2">
        <v>40821</v>
      </c>
      <c r="E188" s="13">
        <f t="shared" ca="1" si="37"/>
        <v>41623.549315068492</v>
      </c>
      <c r="F188" s="3">
        <v>21.61</v>
      </c>
      <c r="G188" s="3">
        <f t="shared" si="46"/>
        <v>46.274872744099952</v>
      </c>
      <c r="H188" s="3">
        <v>1</v>
      </c>
      <c r="I188" s="3">
        <f>G188*(0.12*3+0.15*4+0.16*2)</f>
        <v>59.231837112447941</v>
      </c>
      <c r="J188" s="3">
        <v>0</v>
      </c>
      <c r="K188" s="3">
        <f>'Data (ignore)'!B980</f>
        <v>32.72</v>
      </c>
      <c r="L188" s="15">
        <v>-1000</v>
      </c>
      <c r="M188" s="10">
        <f t="shared" si="51"/>
        <v>1573.3456732993982</v>
      </c>
      <c r="N188" s="3">
        <f t="shared" ca="1" si="50"/>
        <v>2.1972602739726028</v>
      </c>
      <c r="O188" s="12">
        <f t="shared" si="52"/>
        <v>0.57334567329939823</v>
      </c>
      <c r="P188" s="12">
        <f t="shared" ca="1" si="53"/>
        <v>0.22907129497446377</v>
      </c>
      <c r="Q188" s="9" t="s">
        <v>391</v>
      </c>
    </row>
    <row r="189" spans="1:18" x14ac:dyDescent="0.25">
      <c r="A189" t="s">
        <v>186</v>
      </c>
      <c r="B189" t="s">
        <v>353</v>
      </c>
      <c r="C189" t="s">
        <v>10</v>
      </c>
      <c r="D189" s="2">
        <v>40848</v>
      </c>
      <c r="E189" s="13">
        <f t="shared" ca="1" si="37"/>
        <v>41623.530821917811</v>
      </c>
      <c r="F189" s="3">
        <v>5.5</v>
      </c>
      <c r="G189" s="3">
        <f t="shared" si="46"/>
        <v>181.81818181818181</v>
      </c>
      <c r="H189" s="3">
        <v>1</v>
      </c>
      <c r="I189" s="3">
        <v>0</v>
      </c>
      <c r="J189" s="3">
        <v>0</v>
      </c>
      <c r="K189" s="3">
        <f>'Data (ignore)'!B852</f>
        <v>24.1</v>
      </c>
      <c r="L189" s="15">
        <v>-1000</v>
      </c>
      <c r="M189" s="10">
        <f>G189/2*23.51+G189/2*K189+(I189)+(J189)</f>
        <v>4328.181818181818</v>
      </c>
      <c r="N189" s="3">
        <f t="shared" ca="1" si="50"/>
        <v>2.1232876712328768</v>
      </c>
      <c r="O189" s="12">
        <f t="shared" si="52"/>
        <v>3.3281818181818181</v>
      </c>
      <c r="P189" s="12">
        <f t="shared" ca="1" si="53"/>
        <v>0.99378976746886916</v>
      </c>
      <c r="Q189" s="9" t="s">
        <v>392</v>
      </c>
    </row>
    <row r="190" spans="1:18" x14ac:dyDescent="0.25">
      <c r="A190" t="s">
        <v>211</v>
      </c>
      <c r="B190" t="s">
        <v>381</v>
      </c>
      <c r="C190" t="s">
        <v>10</v>
      </c>
      <c r="D190" s="2">
        <v>40876</v>
      </c>
      <c r="E190" s="13">
        <f t="shared" ca="1" si="37"/>
        <v>41623.51164383562</v>
      </c>
      <c r="F190" s="3">
        <v>1.98</v>
      </c>
      <c r="G190" s="3">
        <f t="shared" si="46"/>
        <v>505.05050505050508</v>
      </c>
      <c r="H190" s="3">
        <v>1</v>
      </c>
      <c r="I190" s="3">
        <v>0</v>
      </c>
      <c r="J190" s="3">
        <v>0</v>
      </c>
      <c r="K190" s="3">
        <f>K205</f>
        <v>2.99</v>
      </c>
      <c r="L190" s="15">
        <v>-1000</v>
      </c>
      <c r="M190" s="10">
        <f t="shared" ref="M190:M195" si="54">1000/F190*K190</f>
        <v>1510.1010101010104</v>
      </c>
      <c r="N190" s="3">
        <f t="shared" ca="1" si="50"/>
        <v>2.0465753424657533</v>
      </c>
      <c r="O190" s="12">
        <f t="shared" si="52"/>
        <v>0.51010101010101039</v>
      </c>
      <c r="P190" s="12">
        <f t="shared" ca="1" si="53"/>
        <v>0.22311168959954952</v>
      </c>
      <c r="Q190" s="9" t="s">
        <v>383</v>
      </c>
    </row>
    <row r="191" spans="1:18" x14ac:dyDescent="0.25">
      <c r="A191" t="s">
        <v>221</v>
      </c>
      <c r="B191" t="s">
        <v>394</v>
      </c>
      <c r="C191" t="s">
        <v>10</v>
      </c>
      <c r="D191" s="2">
        <v>40954</v>
      </c>
      <c r="E191" s="13">
        <f t="shared" ca="1" si="37"/>
        <v>41623.458219178079</v>
      </c>
      <c r="F191" s="3">
        <v>340</v>
      </c>
      <c r="G191" s="3">
        <f t="shared" si="46"/>
        <v>2.9411764705882355</v>
      </c>
      <c r="H191" s="3">
        <v>1</v>
      </c>
      <c r="I191" s="3">
        <f>G191*(4.85+5.35+5.35)</f>
        <v>45.735294117647058</v>
      </c>
      <c r="J191" s="3">
        <v>0</v>
      </c>
      <c r="K191" s="3">
        <f>'Data (ignore)'!B996</f>
        <v>425</v>
      </c>
      <c r="L191" s="15">
        <v>-1000</v>
      </c>
      <c r="M191" s="10">
        <f>1000/F191*K191+I191</f>
        <v>1295.7352941176471</v>
      </c>
      <c r="N191" s="3">
        <f t="shared" ca="1" si="50"/>
        <v>1.832876712328767</v>
      </c>
      <c r="O191" s="12">
        <f t="shared" si="52"/>
        <v>0.2957352941176471</v>
      </c>
      <c r="P191" s="12">
        <f t="shared" ca="1" si="53"/>
        <v>0.15182847465903659</v>
      </c>
      <c r="Q191" s="9" t="s">
        <v>393</v>
      </c>
    </row>
    <row r="192" spans="1:18" x14ac:dyDescent="0.25">
      <c r="A192" t="s">
        <v>221</v>
      </c>
      <c r="B192" t="s">
        <v>394</v>
      </c>
      <c r="C192" t="s">
        <v>10</v>
      </c>
      <c r="D192" s="2">
        <v>40976</v>
      </c>
      <c r="E192" s="13">
        <f t="shared" ca="1" si="37"/>
        <v>41623.443150684929</v>
      </c>
      <c r="F192" s="3">
        <v>365</v>
      </c>
      <c r="G192" s="3">
        <f t="shared" si="46"/>
        <v>2.7397260273972601</v>
      </c>
      <c r="H192" s="3">
        <v>1</v>
      </c>
      <c r="I192" s="3">
        <f>G192*(4.85+5.35+5.35)</f>
        <v>42.602739726027394</v>
      </c>
      <c r="J192" s="3">
        <v>0</v>
      </c>
      <c r="K192" s="3">
        <f>'Data (ignore)'!B996</f>
        <v>425</v>
      </c>
      <c r="L192" s="15">
        <v>-1000</v>
      </c>
      <c r="M192" s="10">
        <f>1000/F192*K192+I192</f>
        <v>1206.986301369863</v>
      </c>
      <c r="N192" s="3">
        <f t="shared" ca="1" si="50"/>
        <v>1.7726027397260273</v>
      </c>
      <c r="O192" s="12">
        <f t="shared" si="52"/>
        <v>0.20698630136986299</v>
      </c>
      <c r="P192" s="12">
        <f t="shared" ca="1" si="53"/>
        <v>0.11196658833175333</v>
      </c>
      <c r="Q192" s="9" t="s">
        <v>395</v>
      </c>
    </row>
    <row r="193" spans="1:18" x14ac:dyDescent="0.25">
      <c r="A193" t="s">
        <v>549</v>
      </c>
      <c r="B193" t="s">
        <v>548</v>
      </c>
      <c r="C193" t="s">
        <v>10</v>
      </c>
      <c r="D193" s="2">
        <v>40989</v>
      </c>
      <c r="E193" s="13">
        <f t="shared" ca="1" si="37"/>
        <v>41623.434246575343</v>
      </c>
      <c r="F193" s="3">
        <v>0.26</v>
      </c>
      <c r="G193" s="3">
        <f t="shared" si="46"/>
        <v>3846.1538461538462</v>
      </c>
      <c r="H193" s="3">
        <v>0.02</v>
      </c>
      <c r="I193" s="3">
        <v>0</v>
      </c>
      <c r="J193" s="3">
        <v>0</v>
      </c>
      <c r="K193" s="3">
        <f>'Data (ignore)'!B900</f>
        <v>17.05</v>
      </c>
      <c r="L193" s="15">
        <v>-1000</v>
      </c>
      <c r="M193" s="10">
        <f>1000/F193*H193*K193</f>
        <v>1311.5384615384614</v>
      </c>
      <c r="N193" s="3">
        <f t="shared" ca="1" si="50"/>
        <v>1.736986301369863</v>
      </c>
      <c r="O193" s="12">
        <f>(M193-1000)/1000</f>
        <v>0.31153846153846143</v>
      </c>
      <c r="P193" s="12">
        <f ca="1">(M193/1000)^(1/N193)-1</f>
        <v>0.1689816431365192</v>
      </c>
      <c r="Q193" s="9" t="s">
        <v>424</v>
      </c>
    </row>
    <row r="194" spans="1:18" x14ac:dyDescent="0.25">
      <c r="A194" t="s">
        <v>204</v>
      </c>
      <c r="B194" t="s">
        <v>371</v>
      </c>
      <c r="C194" t="s">
        <v>10</v>
      </c>
      <c r="D194" s="2">
        <v>41003</v>
      </c>
      <c r="E194" s="13">
        <f t="shared" si="37"/>
        <v>41348.236301369863</v>
      </c>
      <c r="F194" s="3">
        <v>0.26</v>
      </c>
      <c r="G194" s="3">
        <f t="shared" si="46"/>
        <v>3846.1538461538462</v>
      </c>
      <c r="H194" s="3">
        <v>1</v>
      </c>
      <c r="I194" s="3">
        <v>0</v>
      </c>
      <c r="J194" s="3">
        <v>0</v>
      </c>
      <c r="K194" s="3">
        <v>0.14000000000000001</v>
      </c>
      <c r="L194" s="15">
        <v>-1000</v>
      </c>
      <c r="M194" s="10">
        <f t="shared" si="54"/>
        <v>538.46153846153857</v>
      </c>
      <c r="N194" s="3">
        <f>(DATE(2013,3,15)-D194)/365</f>
        <v>0.9452054794520548</v>
      </c>
      <c r="O194" s="12">
        <f>(M194-1000)/1000</f>
        <v>-0.46153846153846145</v>
      </c>
      <c r="P194" s="12">
        <f>(M194/1000)^(1/N194)-1</f>
        <v>-0.48051925796804362</v>
      </c>
      <c r="Q194" s="9" t="s">
        <v>425</v>
      </c>
      <c r="R194" t="s">
        <v>504</v>
      </c>
    </row>
    <row r="195" spans="1:18" x14ac:dyDescent="0.25">
      <c r="A195" t="s">
        <v>468</v>
      </c>
      <c r="B195" t="s">
        <v>469</v>
      </c>
      <c r="C195" t="s">
        <v>10</v>
      </c>
      <c r="D195" s="2">
        <v>41043</v>
      </c>
      <c r="E195" s="13">
        <f t="shared" si="37"/>
        <v>41138.065068493153</v>
      </c>
      <c r="F195" s="3">
        <v>4.3</v>
      </c>
      <c r="G195" s="3">
        <f t="shared" si="46"/>
        <v>232.55813953488374</v>
      </c>
      <c r="H195" s="3">
        <v>1</v>
      </c>
      <c r="I195" s="3">
        <v>0</v>
      </c>
      <c r="J195" s="3">
        <v>0</v>
      </c>
      <c r="K195" s="3">
        <v>0</v>
      </c>
      <c r="L195" s="15">
        <v>-1000</v>
      </c>
      <c r="M195" s="10">
        <f t="shared" si="54"/>
        <v>0</v>
      </c>
      <c r="N195" s="3">
        <f>(DATE(2012,8,17)-D195)/365</f>
        <v>0.26027397260273971</v>
      </c>
      <c r="O195" s="12">
        <f t="shared" ref="O195:O215" si="55">(M195-1000)/1000</f>
        <v>-1</v>
      </c>
      <c r="P195" s="12">
        <f t="shared" ref="P195:P212" si="56">(M195/1000)^(1/N195)-1</f>
        <v>-1</v>
      </c>
      <c r="Q195" s="9" t="s">
        <v>494</v>
      </c>
    </row>
    <row r="196" spans="1:18" x14ac:dyDescent="0.25">
      <c r="A196" t="s">
        <v>549</v>
      </c>
      <c r="B196" t="s">
        <v>548</v>
      </c>
      <c r="C196" t="s">
        <v>10</v>
      </c>
      <c r="D196" s="2">
        <v>41060</v>
      </c>
      <c r="E196" s="13">
        <f t="shared" ca="1" si="37"/>
        <v>41623.385616438354</v>
      </c>
      <c r="F196" s="3">
        <v>0.26</v>
      </c>
      <c r="G196" s="3">
        <f t="shared" si="46"/>
        <v>3846.1538461538462</v>
      </c>
      <c r="H196" s="3">
        <v>0.02</v>
      </c>
      <c r="I196" s="3">
        <v>0</v>
      </c>
      <c r="J196" s="3">
        <v>0</v>
      </c>
      <c r="K196" s="3">
        <f>'Data (ignore)'!B900</f>
        <v>17.05</v>
      </c>
      <c r="L196" s="15">
        <v>-1000</v>
      </c>
      <c r="M196" s="10">
        <f t="shared" ref="M196:M212" si="57">G196*H196*K196+(I196)+(J196)</f>
        <v>1311.5384615384614</v>
      </c>
      <c r="N196" s="3">
        <f t="shared" ca="1" si="50"/>
        <v>1.5424657534246575</v>
      </c>
      <c r="O196" s="12">
        <f t="shared" si="55"/>
        <v>0.31153846153846143</v>
      </c>
      <c r="P196" s="12">
        <f t="shared" ca="1" si="56"/>
        <v>0.19222693084927656</v>
      </c>
      <c r="Q196" s="9" t="s">
        <v>495</v>
      </c>
    </row>
    <row r="197" spans="1:18" x14ac:dyDescent="0.25">
      <c r="A197" t="s">
        <v>470</v>
      </c>
      <c r="B197" t="s">
        <v>480</v>
      </c>
      <c r="C197" t="s">
        <v>10</v>
      </c>
      <c r="D197" s="2">
        <v>41106</v>
      </c>
      <c r="E197" s="13">
        <f t="shared" si="37"/>
        <v>41437.226712328767</v>
      </c>
      <c r="F197" s="3">
        <v>42.82</v>
      </c>
      <c r="G197" s="3">
        <f t="shared" si="46"/>
        <v>23.353573096683792</v>
      </c>
      <c r="H197" s="3">
        <v>1</v>
      </c>
      <c r="I197" s="3">
        <f>G197*(0.2+0.2+0.25+0.25+0.3)</f>
        <v>28.024287716020549</v>
      </c>
      <c r="J197" s="3">
        <v>0</v>
      </c>
      <c r="K197" s="3">
        <v>49.3</v>
      </c>
      <c r="L197" s="15">
        <v>-1000</v>
      </c>
      <c r="M197" s="10">
        <f t="shared" si="57"/>
        <v>1179.3554413825316</v>
      </c>
      <c r="N197" s="3">
        <f>(DATE(2013,6,12)-D197)/365</f>
        <v>0.9068493150684932</v>
      </c>
      <c r="O197" s="12">
        <f t="shared" si="55"/>
        <v>0.17935544138253159</v>
      </c>
      <c r="P197" s="12">
        <f t="shared" si="56"/>
        <v>0.1995103262435487</v>
      </c>
      <c r="Q197" s="9" t="s">
        <v>496</v>
      </c>
      <c r="R197" t="s">
        <v>547</v>
      </c>
    </row>
    <row r="198" spans="1:18" x14ac:dyDescent="0.25">
      <c r="A198" t="s">
        <v>174</v>
      </c>
      <c r="B198" t="s">
        <v>335</v>
      </c>
      <c r="C198" t="s">
        <v>10</v>
      </c>
      <c r="D198" s="2">
        <v>41198</v>
      </c>
      <c r="E198" s="13">
        <f t="shared" ca="1" si="37"/>
        <v>41623.29109589041</v>
      </c>
      <c r="F198" s="3">
        <v>1.72</v>
      </c>
      <c r="G198" s="3">
        <f t="shared" si="46"/>
        <v>581.39534883720933</v>
      </c>
      <c r="H198" s="3">
        <v>1</v>
      </c>
      <c r="I198" s="3">
        <v>0</v>
      </c>
      <c r="J198" s="3">
        <v>0</v>
      </c>
      <c r="K198" s="3">
        <f>'Data (ignore)'!B820</f>
        <v>0.25</v>
      </c>
      <c r="L198" s="15">
        <v>-1000</v>
      </c>
      <c r="M198" s="10">
        <f t="shared" si="57"/>
        <v>145.34883720930233</v>
      </c>
      <c r="N198" s="3">
        <f t="shared" ca="1" si="50"/>
        <v>1.1643835616438356</v>
      </c>
      <c r="O198" s="12">
        <f t="shared" si="55"/>
        <v>-0.85465116279069764</v>
      </c>
      <c r="P198" s="12">
        <f t="shared" ca="1" si="56"/>
        <v>-0.80916442347083994</v>
      </c>
      <c r="Q198" s="9" t="s">
        <v>497</v>
      </c>
    </row>
    <row r="199" spans="1:18" x14ac:dyDescent="0.25">
      <c r="A199" t="s">
        <v>471</v>
      </c>
      <c r="B199" t="s">
        <v>481</v>
      </c>
      <c r="C199" t="s">
        <v>10</v>
      </c>
      <c r="D199" s="2">
        <v>41283</v>
      </c>
      <c r="E199" s="13">
        <f t="shared" ca="1" si="37"/>
        <v>41623.232876712325</v>
      </c>
      <c r="F199" s="3">
        <v>49.12</v>
      </c>
      <c r="G199" s="3">
        <f t="shared" si="46"/>
        <v>20.358306188925084</v>
      </c>
      <c r="H199" s="3">
        <v>1</v>
      </c>
      <c r="I199" s="3">
        <f>G199*(0.563+0.575+0.588+0.6)</f>
        <v>47.353420195439746</v>
      </c>
      <c r="J199" s="3">
        <v>0</v>
      </c>
      <c r="K199" s="3">
        <f>'Data (ignore)'!B1012</f>
        <v>48.74</v>
      </c>
      <c r="L199" s="15">
        <v>-1000</v>
      </c>
      <c r="M199" s="10">
        <f t="shared" si="57"/>
        <v>1039.6172638436483</v>
      </c>
      <c r="N199" s="3">
        <f t="shared" ca="1" si="50"/>
        <v>0.93150684931506844</v>
      </c>
      <c r="O199" s="12">
        <f t="shared" si="55"/>
        <v>3.961726384364829E-2</v>
      </c>
      <c r="P199" s="12">
        <f t="shared" ca="1" si="56"/>
        <v>4.2591500293410078E-2</v>
      </c>
      <c r="Q199" s="9" t="s">
        <v>498</v>
      </c>
    </row>
    <row r="200" spans="1:18" x14ac:dyDescent="0.25">
      <c r="A200" t="s">
        <v>472</v>
      </c>
      <c r="B200" t="s">
        <v>482</v>
      </c>
      <c r="C200" t="s">
        <v>10</v>
      </c>
      <c r="D200" s="2">
        <v>41283</v>
      </c>
      <c r="E200" s="13">
        <f t="shared" ca="1" si="37"/>
        <v>41623.232876712325</v>
      </c>
      <c r="F200" s="3">
        <v>57.98</v>
      </c>
      <c r="G200" s="3">
        <f t="shared" si="46"/>
        <v>17.247326664367023</v>
      </c>
      <c r="H200" s="3">
        <v>1</v>
      </c>
      <c r="I200" s="3">
        <f>G200*(0.71+0.715+0.72+0.725)</f>
        <v>49.499827526733348</v>
      </c>
      <c r="J200" s="3">
        <v>0</v>
      </c>
      <c r="K200" s="3">
        <f>'Data (ignore)'!B1028</f>
        <v>49.39</v>
      </c>
      <c r="L200" s="15">
        <v>-1000</v>
      </c>
      <c r="M200" s="10">
        <f t="shared" si="57"/>
        <v>901.34529147982062</v>
      </c>
      <c r="N200" s="3">
        <f t="shared" ca="1" si="50"/>
        <v>0.93150684931506844</v>
      </c>
      <c r="O200" s="12">
        <f t="shared" si="55"/>
        <v>-9.8654708520179379E-2</v>
      </c>
      <c r="P200" s="12">
        <f t="shared" ca="1" si="56"/>
        <v>-0.10551230531517786</v>
      </c>
      <c r="Q200" s="9" t="s">
        <v>498</v>
      </c>
    </row>
    <row r="201" spans="1:18" x14ac:dyDescent="0.25">
      <c r="A201" t="s">
        <v>473</v>
      </c>
      <c r="B201" t="s">
        <v>483</v>
      </c>
      <c r="C201" t="s">
        <v>10</v>
      </c>
      <c r="D201" s="2">
        <v>41283</v>
      </c>
      <c r="E201" s="13">
        <f t="shared" ca="1" si="37"/>
        <v>41623.232876712325</v>
      </c>
      <c r="F201" s="3">
        <v>52.69</v>
      </c>
      <c r="G201" s="3">
        <f t="shared" si="46"/>
        <v>18.978933383943822</v>
      </c>
      <c r="H201" s="3">
        <v>1</v>
      </c>
      <c r="I201" s="3">
        <f>G201*(0.82+0.83+0.84+0.85)</f>
        <v>63.389637502372366</v>
      </c>
      <c r="J201" s="3">
        <v>0</v>
      </c>
      <c r="K201" s="3">
        <f>'Data (ignore)'!B1044</f>
        <v>63.96</v>
      </c>
      <c r="L201" s="15">
        <v>-1000</v>
      </c>
      <c r="M201" s="10">
        <f t="shared" si="57"/>
        <v>1277.2822167394193</v>
      </c>
      <c r="N201" s="3">
        <f t="shared" ca="1" si="50"/>
        <v>0.93150684931506844</v>
      </c>
      <c r="O201" s="12">
        <f t="shared" si="55"/>
        <v>0.27728221673941927</v>
      </c>
      <c r="P201" s="12">
        <f t="shared" ca="1" si="56"/>
        <v>0.30047520516549286</v>
      </c>
      <c r="Q201" s="9" t="s">
        <v>498</v>
      </c>
    </row>
    <row r="202" spans="1:18" x14ac:dyDescent="0.25">
      <c r="A202" t="s">
        <v>474</v>
      </c>
      <c r="B202" t="s">
        <v>484</v>
      </c>
      <c r="C202" t="s">
        <v>10</v>
      </c>
      <c r="D202" s="2">
        <v>41283</v>
      </c>
      <c r="E202" s="13">
        <f t="shared" ca="1" si="37"/>
        <v>41623.232876712325</v>
      </c>
      <c r="F202" s="3">
        <v>27.26</v>
      </c>
      <c r="G202" s="3">
        <f t="shared" si="46"/>
        <v>36.683785766691123</v>
      </c>
      <c r="H202" s="3">
        <v>1</v>
      </c>
      <c r="I202" s="3">
        <f>G202*(0.55*4)</f>
        <v>80.704328686720473</v>
      </c>
      <c r="J202" s="3">
        <v>0</v>
      </c>
      <c r="K202" s="3">
        <f>'Data (ignore)'!B1060</f>
        <v>24.61</v>
      </c>
      <c r="L202" s="15">
        <v>-1000</v>
      </c>
      <c r="M202" s="10">
        <f t="shared" si="57"/>
        <v>983.49229640498902</v>
      </c>
      <c r="N202" s="3">
        <f t="shared" ca="1" si="50"/>
        <v>0.93150684931506844</v>
      </c>
      <c r="O202" s="12">
        <f t="shared" si="55"/>
        <v>-1.650770359501098E-2</v>
      </c>
      <c r="P202" s="12">
        <f t="shared" ca="1" si="56"/>
        <v>-1.7710694863163012E-2</v>
      </c>
      <c r="Q202" s="9" t="s">
        <v>498</v>
      </c>
    </row>
    <row r="203" spans="1:18" x14ac:dyDescent="0.25">
      <c r="A203" t="s">
        <v>475</v>
      </c>
      <c r="B203" t="s">
        <v>485</v>
      </c>
      <c r="C203" t="s">
        <v>10</v>
      </c>
      <c r="D203" s="2">
        <v>41283</v>
      </c>
      <c r="E203" s="13">
        <f t="shared" ca="1" si="37"/>
        <v>41623.232876712325</v>
      </c>
      <c r="F203" s="3">
        <v>27.45</v>
      </c>
      <c r="G203" s="3">
        <f t="shared" si="46"/>
        <v>36.429872495446268</v>
      </c>
      <c r="H203" s="3">
        <v>1</v>
      </c>
      <c r="I203" s="3">
        <f>G203*(0.512+0.525*3)</f>
        <v>76.029143897996363</v>
      </c>
      <c r="J203" s="3">
        <v>0</v>
      </c>
      <c r="K203" s="3">
        <f>'Data (ignore)'!B1076</f>
        <v>29.81</v>
      </c>
      <c r="L203" s="15">
        <v>-1000</v>
      </c>
      <c r="M203" s="10">
        <f t="shared" si="57"/>
        <v>1162.0036429872496</v>
      </c>
      <c r="N203" s="3">
        <f t="shared" ca="1" si="50"/>
        <v>0.93150684931506844</v>
      </c>
      <c r="O203" s="12">
        <f t="shared" si="55"/>
        <v>0.16200364298724959</v>
      </c>
      <c r="P203" s="12">
        <f t="shared" ca="1" si="56"/>
        <v>0.17490339289428825</v>
      </c>
      <c r="Q203" s="9" t="s">
        <v>498</v>
      </c>
    </row>
    <row r="204" spans="1:18" x14ac:dyDescent="0.25">
      <c r="A204" t="s">
        <v>476</v>
      </c>
      <c r="B204" t="s">
        <v>486</v>
      </c>
      <c r="C204" t="s">
        <v>10</v>
      </c>
      <c r="D204" s="2">
        <v>41283</v>
      </c>
      <c r="E204" s="13">
        <f t="shared" ca="1" si="37"/>
        <v>41623.232876712325</v>
      </c>
      <c r="F204" s="3">
        <v>23.6</v>
      </c>
      <c r="G204" s="3">
        <f t="shared" si="46"/>
        <v>42.372881355932201</v>
      </c>
      <c r="H204" s="3">
        <v>1</v>
      </c>
      <c r="I204" s="3">
        <f>G204*(0.39+0.395+0.4)</f>
        <v>50.211864406779661</v>
      </c>
      <c r="J204" s="3">
        <v>0</v>
      </c>
      <c r="K204" s="3">
        <f>'Data (ignore)'!B1092</f>
        <v>21.35</v>
      </c>
      <c r="L204" s="15">
        <v>-1000</v>
      </c>
      <c r="M204" s="10">
        <f t="shared" si="57"/>
        <v>954.87288135593224</v>
      </c>
      <c r="N204" s="3">
        <f t="shared" ca="1" si="50"/>
        <v>0.93150684931506844</v>
      </c>
      <c r="O204" s="12">
        <f t="shared" si="55"/>
        <v>-4.5127118644067765E-2</v>
      </c>
      <c r="P204" s="12">
        <f t="shared" ca="1" si="56"/>
        <v>-4.8363769131195555E-2</v>
      </c>
      <c r="Q204" s="9" t="s">
        <v>498</v>
      </c>
    </row>
    <row r="205" spans="1:18" x14ac:dyDescent="0.25">
      <c r="A205" t="s">
        <v>211</v>
      </c>
      <c r="B205" t="s">
        <v>381</v>
      </c>
      <c r="C205" t="s">
        <v>10</v>
      </c>
      <c r="D205" s="2">
        <v>41312</v>
      </c>
      <c r="E205" s="13">
        <f t="shared" ca="1" si="37"/>
        <v>41623.213013698631</v>
      </c>
      <c r="F205" s="3">
        <v>3.28</v>
      </c>
      <c r="G205" s="3">
        <f t="shared" si="46"/>
        <v>304.8780487804878</v>
      </c>
      <c r="H205" s="3">
        <v>1</v>
      </c>
      <c r="I205" s="3">
        <v>0</v>
      </c>
      <c r="J205" s="3">
        <v>0</v>
      </c>
      <c r="K205" s="3">
        <f>'Data (ignore)'!B948</f>
        <v>2.99</v>
      </c>
      <c r="L205" s="15">
        <v>-1000</v>
      </c>
      <c r="M205" s="10">
        <f t="shared" si="57"/>
        <v>911.58536585365857</v>
      </c>
      <c r="N205" s="3">
        <f t="shared" ca="1" si="50"/>
        <v>0.852054794520548</v>
      </c>
      <c r="O205" s="12">
        <f t="shared" si="55"/>
        <v>-8.8414634146341431E-2</v>
      </c>
      <c r="P205" s="12">
        <f t="shared" ca="1" si="56"/>
        <v>-0.10294965153294111</v>
      </c>
      <c r="Q205" s="9" t="s">
        <v>499</v>
      </c>
    </row>
    <row r="206" spans="1:18" x14ac:dyDescent="0.25">
      <c r="A206" t="s">
        <v>477</v>
      </c>
      <c r="B206" t="s">
        <v>487</v>
      </c>
      <c r="C206" t="s">
        <v>10</v>
      </c>
      <c r="D206" s="2">
        <v>41330</v>
      </c>
      <c r="E206" s="13">
        <f t="shared" ref="E206:E212" ca="1" si="58">D206+(365.25*N206)</f>
        <v>41623.200684931508</v>
      </c>
      <c r="F206" s="3">
        <v>0.84</v>
      </c>
      <c r="G206" s="3">
        <f t="shared" si="46"/>
        <v>1190.4761904761906</v>
      </c>
      <c r="H206" s="3">
        <v>1</v>
      </c>
      <c r="I206" s="3">
        <v>0</v>
      </c>
      <c r="J206" s="3">
        <v>0</v>
      </c>
      <c r="K206" s="3">
        <f>'Data (ignore)'!B1108</f>
        <v>1.95</v>
      </c>
      <c r="L206" s="15">
        <v>-1000</v>
      </c>
      <c r="M206" s="10">
        <f t="shared" si="57"/>
        <v>2321.4285714285716</v>
      </c>
      <c r="N206" s="3">
        <f t="shared" ca="1" si="50"/>
        <v>0.80273972602739729</v>
      </c>
      <c r="O206" s="12">
        <f t="shared" si="55"/>
        <v>1.3214285714285716</v>
      </c>
      <c r="P206" s="12">
        <f t="shared" ca="1" si="56"/>
        <v>1.8551818027104323</v>
      </c>
      <c r="Q206" s="9" t="s">
        <v>500</v>
      </c>
    </row>
    <row r="207" spans="1:18" x14ac:dyDescent="0.25">
      <c r="A207" t="s">
        <v>27</v>
      </c>
      <c r="B207" t="s">
        <v>28</v>
      </c>
      <c r="C207" t="s">
        <v>10</v>
      </c>
      <c r="D207" s="2">
        <v>41347</v>
      </c>
      <c r="E207" s="13">
        <f t="shared" ca="1" si="58"/>
        <v>41623.189041095888</v>
      </c>
      <c r="F207" s="3">
        <v>8.0500000000000007</v>
      </c>
      <c r="G207" s="3">
        <f t="shared" si="46"/>
        <v>124.22360248447204</v>
      </c>
      <c r="H207" s="3">
        <v>1</v>
      </c>
      <c r="I207" s="3">
        <v>0</v>
      </c>
      <c r="J207" s="3">
        <v>0</v>
      </c>
      <c r="K207" s="3">
        <f>'Data (ignore)'!B1172</f>
        <v>16.8</v>
      </c>
      <c r="L207" s="15">
        <v>-1000</v>
      </c>
      <c r="M207" s="10">
        <f t="shared" si="57"/>
        <v>2086.9565217391305</v>
      </c>
      <c r="N207" s="3">
        <f t="shared" ca="1" si="50"/>
        <v>0.75616438356164384</v>
      </c>
      <c r="O207" s="12">
        <f t="shared" si="55"/>
        <v>1.0869565217391306</v>
      </c>
      <c r="P207" s="12">
        <f t="shared" ca="1" si="56"/>
        <v>1.6457261918611317</v>
      </c>
      <c r="Q207" s="9" t="s">
        <v>501</v>
      </c>
    </row>
    <row r="208" spans="1:18" x14ac:dyDescent="0.25">
      <c r="A208" t="s">
        <v>478</v>
      </c>
      <c r="B208" t="s">
        <v>488</v>
      </c>
      <c r="C208" t="s">
        <v>10</v>
      </c>
      <c r="D208" s="2">
        <v>41347</v>
      </c>
      <c r="E208" s="13">
        <f t="shared" ca="1" si="58"/>
        <v>41623.189041095888</v>
      </c>
      <c r="F208" s="3">
        <v>49.38</v>
      </c>
      <c r="G208" s="3">
        <f t="shared" si="46"/>
        <v>20.251113811259618</v>
      </c>
      <c r="H208" s="3">
        <v>1</v>
      </c>
      <c r="I208" s="3">
        <v>0</v>
      </c>
      <c r="J208" s="3">
        <v>0</v>
      </c>
      <c r="K208" s="3">
        <f>'Data (ignore)'!B1124</f>
        <v>51.89</v>
      </c>
      <c r="L208" s="15">
        <v>-1000</v>
      </c>
      <c r="M208" s="10">
        <f t="shared" si="57"/>
        <v>1050.8302956662617</v>
      </c>
      <c r="N208" s="3">
        <f t="shared" ca="1" si="50"/>
        <v>0.75616438356164384</v>
      </c>
      <c r="O208" s="12">
        <f t="shared" si="55"/>
        <v>5.0830295666261689E-2</v>
      </c>
      <c r="P208" s="12">
        <f t="shared" ca="1" si="56"/>
        <v>6.7765940426309124E-2</v>
      </c>
      <c r="Q208" s="9" t="s">
        <v>501</v>
      </c>
    </row>
    <row r="209" spans="1:18" x14ac:dyDescent="0.25">
      <c r="A209" t="s">
        <v>147</v>
      </c>
      <c r="B209" t="s">
        <v>309</v>
      </c>
      <c r="C209" t="s">
        <v>10</v>
      </c>
      <c r="D209" s="2">
        <v>41348</v>
      </c>
      <c r="E209" s="13">
        <f t="shared" ca="1" si="58"/>
        <v>41623.188356164384</v>
      </c>
      <c r="F209" s="3">
        <v>7.36</v>
      </c>
      <c r="G209" s="3">
        <f t="shared" si="46"/>
        <v>135.86956521739131</v>
      </c>
      <c r="H209" s="3">
        <v>1</v>
      </c>
      <c r="I209" s="3">
        <v>0</v>
      </c>
      <c r="J209" s="3">
        <v>0</v>
      </c>
      <c r="K209" s="3">
        <f>'Data (ignore)'!B708</f>
        <v>8.5500000000000007</v>
      </c>
      <c r="L209" s="15">
        <v>-1000</v>
      </c>
      <c r="M209" s="10">
        <f t="shared" si="57"/>
        <v>1161.6847826086957</v>
      </c>
      <c r="N209" s="3">
        <f t="shared" ca="1" si="50"/>
        <v>0.75342465753424659</v>
      </c>
      <c r="O209" s="12">
        <f t="shared" si="55"/>
        <v>0.16168478260869573</v>
      </c>
      <c r="P209" s="12">
        <f t="shared" ca="1" si="56"/>
        <v>0.22008454525139665</v>
      </c>
      <c r="Q209" s="9" t="s">
        <v>502</v>
      </c>
    </row>
    <row r="210" spans="1:18" x14ac:dyDescent="0.25">
      <c r="A210" t="s">
        <v>478</v>
      </c>
      <c r="B210" t="s">
        <v>479</v>
      </c>
      <c r="C210" t="s">
        <v>10</v>
      </c>
      <c r="D210" s="2">
        <v>41372</v>
      </c>
      <c r="E210" s="13">
        <f t="shared" ca="1" si="58"/>
        <v>41623.17191780822</v>
      </c>
      <c r="F210" s="3">
        <v>13.5</v>
      </c>
      <c r="G210" s="3">
        <f t="shared" si="46"/>
        <v>74.074074074074076</v>
      </c>
      <c r="H210" s="3">
        <v>1</v>
      </c>
      <c r="I210" s="3">
        <v>0</v>
      </c>
      <c r="J210" s="3">
        <v>0</v>
      </c>
      <c r="K210" s="3">
        <v>15.4</v>
      </c>
      <c r="L210" s="15">
        <v>-1000</v>
      </c>
      <c r="M210" s="10">
        <f>(G210/2)*23.8+(G210/2*K210)</f>
        <v>1451.851851851852</v>
      </c>
      <c r="N210" s="3">
        <f t="shared" ca="1" si="50"/>
        <v>0.68767123287671228</v>
      </c>
      <c r="O210" s="12">
        <f t="shared" si="55"/>
        <v>0.45185185185185195</v>
      </c>
      <c r="P210" s="12">
        <f t="shared" ca="1" si="56"/>
        <v>0.71974756564209708</v>
      </c>
      <c r="Q210" s="9" t="s">
        <v>503</v>
      </c>
      <c r="R210" t="s">
        <v>552</v>
      </c>
    </row>
    <row r="211" spans="1:18" x14ac:dyDescent="0.25">
      <c r="A211" t="s">
        <v>511</v>
      </c>
      <c r="B211" t="s">
        <v>550</v>
      </c>
      <c r="C211" t="s">
        <v>10</v>
      </c>
      <c r="D211" s="2">
        <v>41401</v>
      </c>
      <c r="E211" s="13">
        <f t="shared" ca="1" si="58"/>
        <v>41623.152054794518</v>
      </c>
      <c r="F211" s="3">
        <v>22.69</v>
      </c>
      <c r="G211" s="3">
        <f t="shared" si="46"/>
        <v>44.072278536800347</v>
      </c>
      <c r="H211" s="3">
        <v>1</v>
      </c>
      <c r="I211" s="3">
        <v>0</v>
      </c>
      <c r="J211" s="3">
        <v>0</v>
      </c>
      <c r="K211" s="3">
        <f>'Data (ignore)'!B1140</f>
        <v>40.69</v>
      </c>
      <c r="L211" s="15">
        <v>-1000</v>
      </c>
      <c r="M211" s="10">
        <f t="shared" si="57"/>
        <v>1793.3010136624059</v>
      </c>
      <c r="N211" s="3">
        <f t="shared" ca="1" si="50"/>
        <v>0.60821917808219184</v>
      </c>
      <c r="O211" s="12">
        <f t="shared" si="55"/>
        <v>0.79330101366240591</v>
      </c>
      <c r="P211" s="12">
        <f t="shared" ca="1" si="56"/>
        <v>1.6124164723834058</v>
      </c>
      <c r="Q211" s="9" t="s">
        <v>553</v>
      </c>
    </row>
    <row r="212" spans="1:18" x14ac:dyDescent="0.25">
      <c r="A212" t="s">
        <v>512</v>
      </c>
      <c r="B212" t="s">
        <v>551</v>
      </c>
      <c r="C212" t="s">
        <v>10</v>
      </c>
      <c r="D212" s="2">
        <v>41401</v>
      </c>
      <c r="E212" s="13">
        <f t="shared" ca="1" si="58"/>
        <v>41623.152054794518</v>
      </c>
      <c r="F212" s="3">
        <v>10.31</v>
      </c>
      <c r="G212" s="3">
        <f t="shared" si="46"/>
        <v>96.993210475266721</v>
      </c>
      <c r="H212" s="3">
        <v>1</v>
      </c>
      <c r="I212" s="3">
        <v>0</v>
      </c>
      <c r="J212" s="3">
        <v>0</v>
      </c>
      <c r="K212" s="3">
        <f>'Data (ignore)'!B1156</f>
        <v>10.74</v>
      </c>
      <c r="L212" s="15">
        <v>-1000</v>
      </c>
      <c r="M212" s="10">
        <f t="shared" si="57"/>
        <v>1041.7070805043645</v>
      </c>
      <c r="N212" s="3">
        <f t="shared" ca="1" si="50"/>
        <v>0.60821917808219184</v>
      </c>
      <c r="O212" s="12">
        <f t="shared" si="55"/>
        <v>4.1707080504364509E-2</v>
      </c>
      <c r="P212" s="12">
        <f t="shared" ca="1" si="56"/>
        <v>6.9489070613608872E-2</v>
      </c>
      <c r="Q212" s="9" t="s">
        <v>553</v>
      </c>
    </row>
    <row r="213" spans="1:18" x14ac:dyDescent="0.25">
      <c r="D213" s="2"/>
      <c r="F213" s="3"/>
      <c r="G213" s="3"/>
      <c r="H213" s="3"/>
      <c r="I213" s="3"/>
      <c r="J213" s="3"/>
      <c r="K213" s="3"/>
      <c r="M213" s="10"/>
      <c r="N213" s="3"/>
      <c r="O213" s="12"/>
      <c r="P213" s="12"/>
    </row>
    <row r="214" spans="1:18" x14ac:dyDescent="0.25">
      <c r="D214" s="2"/>
      <c r="F214" s="3"/>
      <c r="G214" s="3"/>
      <c r="H214" s="3"/>
      <c r="I214" s="3"/>
      <c r="J214" s="3"/>
      <c r="K214" s="3"/>
      <c r="M214" s="10"/>
      <c r="N214" s="3"/>
      <c r="O214" s="12"/>
      <c r="P214" s="12"/>
    </row>
    <row r="215" spans="1:18" x14ac:dyDescent="0.25">
      <c r="C215">
        <v>196</v>
      </c>
      <c r="D215" t="s">
        <v>639</v>
      </c>
      <c r="I215" s="23">
        <f>C215*1000</f>
        <v>196000</v>
      </c>
      <c r="J215" t="s">
        <v>634</v>
      </c>
      <c r="K215" s="3"/>
      <c r="M215" s="10">
        <f>SUM(M17:M212)</f>
        <v>378673.31885710289</v>
      </c>
      <c r="N215" s="3"/>
      <c r="O215" s="3">
        <f t="shared" si="55"/>
        <v>377.67331885710291</v>
      </c>
      <c r="P215" s="3"/>
    </row>
    <row r="216" spans="1:18" x14ac:dyDescent="0.25">
      <c r="D216" s="2"/>
      <c r="F216" s="3"/>
      <c r="G216" s="3"/>
      <c r="H216" s="3"/>
      <c r="I216" s="3"/>
      <c r="J216" s="3"/>
      <c r="K216" s="3"/>
      <c r="M216" s="10">
        <f>1000*(1+O216)</f>
        <v>1937.3108802213194</v>
      </c>
      <c r="N216" s="3">
        <f ca="1">AVERAGE(N17:N168,N169:N210)</f>
        <v>4.4497422680412342</v>
      </c>
      <c r="O216" s="12">
        <f>AVERAGE(O17:O168,O169:O210)</f>
        <v>0.93731088022131936</v>
      </c>
      <c r="P216" s="12"/>
    </row>
    <row r="217" spans="1:18" x14ac:dyDescent="0.25">
      <c r="D217" s="2"/>
      <c r="F217" s="3"/>
      <c r="G217" s="3"/>
      <c r="H217" s="3"/>
      <c r="I217" s="3"/>
      <c r="J217" s="3"/>
      <c r="K217" s="3"/>
      <c r="M217" s="17"/>
      <c r="N217" s="3"/>
      <c r="O217" s="3"/>
      <c r="P217" s="3"/>
    </row>
    <row r="218" spans="1:18" x14ac:dyDescent="0.25">
      <c r="D218" s="2"/>
      <c r="F218" s="3"/>
      <c r="G218" s="3"/>
      <c r="H218" s="3"/>
      <c r="I218" s="3"/>
      <c r="J218" s="3"/>
      <c r="K218" s="3"/>
      <c r="M218" s="18" t="s">
        <v>508</v>
      </c>
      <c r="N218" s="19">
        <f ca="1">XIRR(L17:M212, D17:E212,)</f>
        <v>0.1466532647609711</v>
      </c>
      <c r="O218" s="3"/>
      <c r="P218" s="3"/>
    </row>
    <row r="219" spans="1:18" x14ac:dyDescent="0.25">
      <c r="D219" s="2"/>
      <c r="F219" s="3"/>
      <c r="G219" s="3"/>
      <c r="H219" s="3"/>
      <c r="I219" s="3"/>
      <c r="J219" s="3"/>
      <c r="K219" s="3"/>
      <c r="M219" s="18"/>
      <c r="N219" s="19"/>
      <c r="O219" s="3"/>
      <c r="P219" s="3"/>
    </row>
    <row r="220" spans="1:18" x14ac:dyDescent="0.25">
      <c r="D220" s="2"/>
      <c r="F220" s="3"/>
      <c r="G220" s="3"/>
      <c r="H220" s="3"/>
      <c r="I220" s="3"/>
      <c r="J220" s="3"/>
      <c r="K220" s="3"/>
      <c r="M220" s="10"/>
      <c r="N220" s="3"/>
      <c r="O220" s="12"/>
      <c r="P220" s="12"/>
      <c r="Q220" s="9"/>
    </row>
    <row r="221" spans="1:18" hidden="1" x14ac:dyDescent="0.25">
      <c r="D221" s="2"/>
      <c r="F221" s="3"/>
      <c r="G221" s="3"/>
      <c r="H221" s="3"/>
      <c r="I221" s="3"/>
      <c r="J221" s="3"/>
      <c r="K221" s="3"/>
      <c r="M221" s="10"/>
      <c r="N221" s="3"/>
      <c r="O221" s="12"/>
      <c r="P221" s="12"/>
      <c r="Q221" s="9"/>
    </row>
    <row r="222" spans="1:18" hidden="1" x14ac:dyDescent="0.25">
      <c r="D222" s="2"/>
      <c r="F222" s="3"/>
      <c r="G222" s="3"/>
      <c r="H222" s="3"/>
      <c r="I222" s="3"/>
      <c r="J222" s="3"/>
      <c r="K222" s="3"/>
      <c r="M222" s="10"/>
      <c r="N222" s="3"/>
      <c r="O222" s="12"/>
      <c r="P222" s="12"/>
      <c r="Q222" s="9"/>
    </row>
    <row r="223" spans="1:18" hidden="1" x14ac:dyDescent="0.25">
      <c r="D223" s="2"/>
      <c r="F223" s="3"/>
      <c r="G223" s="3"/>
      <c r="H223" s="3"/>
      <c r="I223" s="3"/>
      <c r="J223" s="3"/>
      <c r="K223" s="3"/>
      <c r="M223" s="10"/>
      <c r="N223" s="3"/>
      <c r="O223" s="12"/>
      <c r="P223" s="12"/>
      <c r="Q223" s="9"/>
    </row>
    <row r="224" spans="1:18" hidden="1" x14ac:dyDescent="0.25">
      <c r="D224" s="2"/>
      <c r="F224" s="3"/>
      <c r="G224" s="3"/>
      <c r="H224" s="3"/>
      <c r="I224" s="3"/>
      <c r="J224" s="3"/>
      <c r="K224" s="3"/>
      <c r="M224" s="10"/>
      <c r="N224" s="3"/>
      <c r="O224" s="3"/>
      <c r="P224" s="3"/>
    </row>
    <row r="225" spans="1:19" hidden="1" x14ac:dyDescent="0.25">
      <c r="A225" s="8"/>
      <c r="D225" s="2"/>
      <c r="F225" s="3"/>
      <c r="G225" s="3"/>
      <c r="H225" s="3"/>
      <c r="I225" s="3"/>
      <c r="J225" s="3"/>
      <c r="K225" s="3"/>
      <c r="M225" s="10"/>
      <c r="N225" s="3"/>
      <c r="O225" s="3"/>
      <c r="P225" s="3"/>
    </row>
    <row r="226" spans="1:19" hidden="1" x14ac:dyDescent="0.25">
      <c r="D226" s="2"/>
      <c r="F226" s="3"/>
      <c r="G226" s="3"/>
      <c r="H226" s="3"/>
      <c r="I226" s="3"/>
      <c r="J226" s="3"/>
      <c r="K226" s="3"/>
      <c r="M226" s="10"/>
      <c r="N226" s="3"/>
      <c r="O226" s="3"/>
      <c r="P226" s="3"/>
    </row>
    <row r="227" spans="1:19" hidden="1" x14ac:dyDescent="0.25">
      <c r="A227" s="20"/>
      <c r="D227" s="2"/>
      <c r="F227" s="4"/>
      <c r="G227" s="4"/>
      <c r="H227" s="4"/>
      <c r="I227" s="4"/>
      <c r="J227" s="3"/>
      <c r="K227" s="3"/>
      <c r="M227" s="4"/>
      <c r="N227" s="3"/>
      <c r="O227" s="3"/>
      <c r="P227" s="3"/>
      <c r="R227" t="s">
        <v>509</v>
      </c>
    </row>
    <row r="228" spans="1:19" hidden="1" x14ac:dyDescent="0.25">
      <c r="A228" s="20"/>
      <c r="D228" s="2"/>
      <c r="F228" s="3"/>
      <c r="G228" s="3"/>
      <c r="H228" s="3"/>
      <c r="I228" s="3"/>
      <c r="J228" s="3"/>
      <c r="K228" s="3"/>
      <c r="M228" s="10"/>
      <c r="N228" s="3"/>
      <c r="O228" s="3"/>
      <c r="P228" s="3"/>
      <c r="S228" s="20">
        <v>35521</v>
      </c>
    </row>
    <row r="229" spans="1:19" hidden="1" x14ac:dyDescent="0.25">
      <c r="A229" s="20"/>
      <c r="D229" s="2"/>
      <c r="F229" s="3"/>
      <c r="G229" s="3"/>
      <c r="H229" s="3"/>
      <c r="I229" s="3"/>
      <c r="J229" s="3"/>
      <c r="K229" s="3"/>
      <c r="M229" s="10"/>
      <c r="N229" s="3"/>
      <c r="O229" s="3"/>
      <c r="P229" s="3"/>
      <c r="R229">
        <v>0.34</v>
      </c>
      <c r="S229" s="20">
        <v>35612</v>
      </c>
    </row>
    <row r="230" spans="1:19" hidden="1" x14ac:dyDescent="0.25">
      <c r="A230" s="20"/>
      <c r="D230" s="2"/>
      <c r="F230" s="3"/>
      <c r="G230" s="3"/>
      <c r="H230" s="3"/>
      <c r="I230" s="3"/>
      <c r="J230" s="3"/>
      <c r="K230" s="3"/>
      <c r="M230" s="10"/>
      <c r="N230" s="3"/>
      <c r="O230" s="3"/>
      <c r="P230" s="3"/>
      <c r="R230">
        <v>0.35</v>
      </c>
      <c r="S230" s="20">
        <v>35704</v>
      </c>
    </row>
    <row r="231" spans="1:19" hidden="1" x14ac:dyDescent="0.25">
      <c r="A231" s="20"/>
      <c r="D231" s="2"/>
      <c r="F231" s="3"/>
      <c r="G231" s="3"/>
      <c r="H231" s="3"/>
      <c r="I231" s="3"/>
      <c r="J231" s="3"/>
      <c r="K231" s="3"/>
      <c r="M231" s="10"/>
      <c r="N231" s="3"/>
      <c r="O231" s="3"/>
      <c r="P231" s="3"/>
      <c r="R231">
        <v>0.34499999999999997</v>
      </c>
      <c r="S231" s="20">
        <v>35796</v>
      </c>
    </row>
    <row r="232" spans="1:19" hidden="1" x14ac:dyDescent="0.25">
      <c r="A232" s="20"/>
      <c r="D232" s="2"/>
      <c r="F232" s="3"/>
      <c r="G232" s="3"/>
      <c r="H232" s="3"/>
      <c r="I232" s="3"/>
      <c r="J232" s="3"/>
      <c r="K232" s="3"/>
      <c r="M232" s="10"/>
      <c r="N232" s="3"/>
      <c r="O232" s="3"/>
      <c r="P232" s="3"/>
      <c r="R232">
        <v>0.34799999999999998</v>
      </c>
      <c r="S232" s="20">
        <v>35886</v>
      </c>
    </row>
    <row r="233" spans="1:19" hidden="1" x14ac:dyDescent="0.25">
      <c r="A233" s="20"/>
      <c r="D233" s="2"/>
      <c r="F233" s="3"/>
      <c r="G233" s="3"/>
      <c r="H233" s="3"/>
      <c r="I233" s="3"/>
      <c r="J233" s="3"/>
      <c r="K233" s="3"/>
      <c r="M233" s="10"/>
      <c r="N233" s="3"/>
      <c r="O233" s="3"/>
      <c r="P233" s="3"/>
      <c r="R233">
        <v>0.34799999999999998</v>
      </c>
      <c r="S233" s="20">
        <v>35977</v>
      </c>
    </row>
    <row r="234" spans="1:19" hidden="1" x14ac:dyDescent="0.25">
      <c r="A234" s="20"/>
      <c r="D234" s="2"/>
      <c r="F234" s="3"/>
      <c r="G234" s="3"/>
      <c r="H234" s="3"/>
      <c r="I234" s="3"/>
      <c r="J234" s="3"/>
      <c r="K234" s="3"/>
      <c r="M234" s="10"/>
      <c r="N234" s="3"/>
      <c r="O234" s="3"/>
      <c r="P234" s="3"/>
      <c r="R234">
        <v>0.34799999999999998</v>
      </c>
      <c r="S234" s="20">
        <v>36069</v>
      </c>
    </row>
    <row r="235" spans="1:19" hidden="1" x14ac:dyDescent="0.25">
      <c r="A235" s="20"/>
      <c r="D235" s="2"/>
      <c r="F235" s="3"/>
      <c r="G235" s="3"/>
      <c r="H235" s="3"/>
      <c r="I235" s="3"/>
      <c r="J235" s="3"/>
      <c r="K235" s="3"/>
      <c r="M235" s="10"/>
      <c r="N235" s="3"/>
      <c r="O235" s="3"/>
      <c r="P235" s="3"/>
      <c r="R235">
        <v>0.34799999999999998</v>
      </c>
      <c r="S235" s="20">
        <v>36161</v>
      </c>
    </row>
    <row r="236" spans="1:19" hidden="1" x14ac:dyDescent="0.25">
      <c r="A236" s="20"/>
      <c r="D236" s="2"/>
      <c r="F236" s="3"/>
      <c r="G236" s="3"/>
      <c r="H236" s="3"/>
      <c r="I236" s="3"/>
      <c r="J236" s="3"/>
      <c r="K236" s="3"/>
      <c r="M236" s="10"/>
      <c r="N236" s="3"/>
      <c r="O236" s="3"/>
      <c r="P236" s="3"/>
      <c r="R236">
        <v>0.35499999999999998</v>
      </c>
      <c r="S236" s="20">
        <v>36251</v>
      </c>
    </row>
    <row r="237" spans="1:19" hidden="1" x14ac:dyDescent="0.25">
      <c r="A237" s="20"/>
      <c r="D237" s="2"/>
      <c r="F237" s="3"/>
      <c r="G237" s="3"/>
      <c r="H237" s="3"/>
      <c r="I237" s="3"/>
      <c r="J237" s="3"/>
      <c r="K237" s="3"/>
      <c r="M237" s="10"/>
      <c r="N237" s="3"/>
      <c r="O237" s="3"/>
      <c r="P237" s="3"/>
      <c r="R237">
        <v>0.35499999999999998</v>
      </c>
      <c r="S237" s="20">
        <v>36342</v>
      </c>
    </row>
    <row r="238" spans="1:19" hidden="1" x14ac:dyDescent="0.25">
      <c r="A238" s="20"/>
      <c r="D238" s="2"/>
      <c r="F238" s="3"/>
      <c r="G238" s="3"/>
      <c r="H238" s="3"/>
      <c r="I238" s="3"/>
      <c r="J238" s="3"/>
      <c r="K238" s="3"/>
      <c r="M238" s="10"/>
      <c r="N238" s="3"/>
      <c r="O238" s="3"/>
      <c r="P238" s="3"/>
      <c r="R238">
        <v>0.35499999999999998</v>
      </c>
      <c r="S238" s="20">
        <v>36434</v>
      </c>
    </row>
    <row r="239" spans="1:19" hidden="1" x14ac:dyDescent="0.25">
      <c r="A239" s="20"/>
      <c r="D239" s="2"/>
      <c r="F239" s="3"/>
      <c r="G239" s="3"/>
      <c r="H239" s="3"/>
      <c r="I239" s="3"/>
      <c r="J239" s="3"/>
      <c r="K239" s="3"/>
      <c r="M239" s="10"/>
      <c r="N239" s="3"/>
      <c r="O239" s="3"/>
      <c r="P239" s="3"/>
      <c r="R239">
        <v>0.34799999999999998</v>
      </c>
      <c r="S239" s="20">
        <v>36526</v>
      </c>
    </row>
    <row r="240" spans="1:19" hidden="1" x14ac:dyDescent="0.25">
      <c r="A240" s="20"/>
      <c r="D240" s="2"/>
      <c r="F240" s="3"/>
      <c r="G240" s="3"/>
      <c r="H240" s="3"/>
      <c r="I240" s="3"/>
      <c r="J240" s="3"/>
      <c r="K240" s="3"/>
      <c r="M240" s="10"/>
      <c r="N240" s="3"/>
      <c r="O240" s="3"/>
      <c r="P240" s="3"/>
      <c r="R240">
        <v>0.371</v>
      </c>
      <c r="S240" s="20">
        <v>36617</v>
      </c>
    </row>
    <row r="241" spans="1:19" hidden="1" x14ac:dyDescent="0.25">
      <c r="A241" s="20"/>
      <c r="D241" s="2"/>
      <c r="F241" s="3"/>
      <c r="G241" s="3"/>
      <c r="H241" s="3"/>
      <c r="I241" s="3"/>
      <c r="J241" s="3"/>
      <c r="K241" s="3"/>
      <c r="M241" s="10"/>
      <c r="N241" s="3"/>
      <c r="O241" s="3"/>
      <c r="P241" s="3"/>
      <c r="R241">
        <v>0.34799999999999998</v>
      </c>
      <c r="S241" s="20">
        <v>36708</v>
      </c>
    </row>
    <row r="242" spans="1:19" hidden="1" x14ac:dyDescent="0.25">
      <c r="A242" s="20"/>
      <c r="D242" s="2"/>
      <c r="F242" s="3"/>
      <c r="G242" s="3"/>
      <c r="H242" s="3"/>
      <c r="I242" s="3"/>
      <c r="J242" s="3"/>
      <c r="K242" s="3"/>
      <c r="M242" s="10"/>
      <c r="N242" s="3"/>
      <c r="O242" s="3"/>
      <c r="P242" s="3"/>
      <c r="R242">
        <v>0.375</v>
      </c>
      <c r="S242" s="20">
        <v>36800</v>
      </c>
    </row>
    <row r="243" spans="1:19" hidden="1" x14ac:dyDescent="0.25">
      <c r="A243" s="20"/>
      <c r="D243" s="2"/>
      <c r="F243" s="3"/>
      <c r="G243" s="3"/>
      <c r="H243" s="3"/>
      <c r="I243" s="3"/>
      <c r="J243" s="3"/>
      <c r="K243" s="3"/>
      <c r="M243" s="10"/>
      <c r="N243" s="3"/>
      <c r="O243" s="3"/>
      <c r="P243" s="3"/>
      <c r="R243">
        <v>0.36</v>
      </c>
      <c r="S243" s="20">
        <v>36892</v>
      </c>
    </row>
    <row r="244" spans="1:19" hidden="1" x14ac:dyDescent="0.25">
      <c r="A244" s="20"/>
      <c r="D244" s="2"/>
      <c r="F244" s="3"/>
      <c r="G244" s="3"/>
      <c r="H244" s="3"/>
      <c r="I244" s="3"/>
      <c r="J244" s="3"/>
      <c r="K244" s="3"/>
      <c r="M244" s="10"/>
      <c r="N244" s="3"/>
      <c r="O244" s="3"/>
      <c r="P244" s="3"/>
      <c r="R244">
        <v>0.316</v>
      </c>
      <c r="S244" s="20">
        <v>36982</v>
      </c>
    </row>
    <row r="245" spans="1:19" hidden="1" x14ac:dyDescent="0.25">
      <c r="A245" s="20"/>
      <c r="D245" s="2"/>
      <c r="F245" s="3"/>
      <c r="G245" s="3"/>
      <c r="H245" s="3"/>
      <c r="I245" s="3"/>
      <c r="J245" s="3"/>
      <c r="K245" s="3"/>
      <c r="M245" s="10"/>
      <c r="N245" s="3"/>
      <c r="O245" s="3"/>
      <c r="P245" s="3"/>
      <c r="R245">
        <v>0.34599999999999997</v>
      </c>
      <c r="S245" s="20">
        <v>37073</v>
      </c>
    </row>
    <row r="246" spans="1:19" hidden="1" x14ac:dyDescent="0.25">
      <c r="A246" s="20"/>
      <c r="D246" s="2"/>
      <c r="F246" s="3"/>
      <c r="G246" s="3"/>
      <c r="H246" s="3"/>
      <c r="I246" s="3"/>
      <c r="J246" s="3"/>
      <c r="K246" s="3"/>
      <c r="M246" s="10"/>
      <c r="N246" s="3"/>
      <c r="O246" s="3"/>
      <c r="P246" s="3"/>
      <c r="R246">
        <v>0.37</v>
      </c>
      <c r="S246" s="20">
        <v>37165</v>
      </c>
    </row>
    <row r="247" spans="1:19" hidden="1" x14ac:dyDescent="0.25">
      <c r="A247" s="20"/>
      <c r="D247" s="2"/>
      <c r="F247" s="3"/>
      <c r="G247" s="3"/>
      <c r="H247" s="3"/>
      <c r="I247" s="3"/>
      <c r="J247" s="3"/>
      <c r="K247" s="3"/>
      <c r="M247" s="10"/>
      <c r="N247" s="3"/>
      <c r="O247" s="3"/>
      <c r="P247" s="3"/>
      <c r="R247">
        <v>0.39300000000000002</v>
      </c>
      <c r="S247" s="20">
        <v>37257</v>
      </c>
    </row>
    <row r="248" spans="1:19" hidden="1" x14ac:dyDescent="0.25">
      <c r="A248" s="20"/>
      <c r="D248" s="2"/>
      <c r="F248" s="3"/>
      <c r="G248" s="3"/>
      <c r="H248" s="3"/>
      <c r="I248" s="3"/>
      <c r="J248" s="3"/>
      <c r="K248" s="3"/>
      <c r="M248" s="10"/>
      <c r="N248" s="3"/>
      <c r="O248" s="3"/>
      <c r="P248" s="3"/>
      <c r="R248">
        <v>0.33100000000000002</v>
      </c>
      <c r="S248" s="20">
        <v>37347</v>
      </c>
    </row>
    <row r="249" spans="1:19" hidden="1" x14ac:dyDescent="0.25">
      <c r="A249" s="20"/>
      <c r="D249" s="2"/>
      <c r="F249" s="3"/>
      <c r="G249" s="3"/>
      <c r="H249" s="3"/>
      <c r="I249" s="3"/>
      <c r="J249" s="3"/>
      <c r="K249" s="3"/>
      <c r="M249" s="10"/>
      <c r="N249" s="3"/>
      <c r="O249" s="3"/>
      <c r="P249" s="3"/>
      <c r="R249">
        <v>0.35299999999999998</v>
      </c>
      <c r="S249" s="20">
        <v>37438</v>
      </c>
    </row>
    <row r="250" spans="1:19" hidden="1" x14ac:dyDescent="0.25">
      <c r="A250" s="20"/>
      <c r="D250" s="2"/>
      <c r="F250" s="3"/>
      <c r="G250" s="3"/>
      <c r="H250" s="3"/>
      <c r="I250" s="3"/>
      <c r="J250" s="3"/>
      <c r="K250" s="3"/>
      <c r="M250" s="10"/>
      <c r="N250" s="3"/>
      <c r="O250" s="3"/>
      <c r="P250" s="3"/>
      <c r="R250">
        <v>0.378</v>
      </c>
      <c r="S250" s="20">
        <v>37530</v>
      </c>
    </row>
    <row r="251" spans="1:19" hidden="1" x14ac:dyDescent="0.25">
      <c r="A251" s="20"/>
      <c r="D251" s="2"/>
      <c r="F251" s="3"/>
      <c r="G251" s="3"/>
      <c r="H251" s="3"/>
      <c r="I251" s="3"/>
      <c r="J251" s="3"/>
      <c r="K251" s="3"/>
      <c r="M251" s="10"/>
      <c r="N251" s="3"/>
      <c r="O251" s="3"/>
      <c r="P251" s="3"/>
      <c r="R251">
        <v>0.436</v>
      </c>
      <c r="S251" s="20">
        <v>37622</v>
      </c>
    </row>
    <row r="252" spans="1:19" hidden="1" x14ac:dyDescent="0.25">
      <c r="A252" s="20"/>
      <c r="D252" s="2"/>
      <c r="F252" s="3"/>
      <c r="G252" s="3"/>
      <c r="H252" s="3"/>
      <c r="I252" s="3"/>
      <c r="J252" s="3"/>
      <c r="K252" s="3"/>
      <c r="M252" s="10"/>
      <c r="N252" s="3"/>
      <c r="O252" s="3"/>
      <c r="P252" s="3"/>
      <c r="R252">
        <v>0.35399999999999998</v>
      </c>
      <c r="S252" s="20">
        <v>37712</v>
      </c>
    </row>
    <row r="253" spans="1:19" hidden="1" x14ac:dyDescent="0.25">
      <c r="A253" s="20"/>
      <c r="D253" s="2"/>
      <c r="F253" s="3"/>
      <c r="G253" s="3"/>
      <c r="H253" s="3"/>
      <c r="I253" s="3"/>
      <c r="J253" s="3"/>
      <c r="K253" s="3"/>
      <c r="M253" s="10"/>
      <c r="N253" s="3"/>
      <c r="O253" s="3"/>
      <c r="P253" s="3"/>
      <c r="R253">
        <v>0.36</v>
      </c>
      <c r="S253" s="20">
        <v>37803</v>
      </c>
    </row>
    <row r="254" spans="1:19" hidden="1" x14ac:dyDescent="0.25">
      <c r="A254" s="20"/>
      <c r="D254" s="2"/>
      <c r="F254" s="3"/>
      <c r="G254" s="3"/>
      <c r="H254" s="3"/>
      <c r="I254" s="3"/>
      <c r="J254" s="3"/>
      <c r="K254" s="3"/>
      <c r="M254" s="10"/>
      <c r="N254" s="3"/>
      <c r="O254" s="3"/>
      <c r="P254" s="3"/>
      <c r="R254">
        <v>0.4</v>
      </c>
      <c r="S254" s="20">
        <v>37895</v>
      </c>
    </row>
    <row r="255" spans="1:19" hidden="1" x14ac:dyDescent="0.25">
      <c r="A255" s="20"/>
      <c r="D255" s="2"/>
      <c r="F255" s="3"/>
      <c r="G255" s="3"/>
      <c r="H255" s="3"/>
      <c r="I255" s="3"/>
      <c r="J255" s="3"/>
      <c r="K255" s="3"/>
      <c r="M255" s="10"/>
      <c r="N255" s="3"/>
      <c r="O255" s="3"/>
      <c r="P255" s="3"/>
      <c r="R255">
        <v>0.51600000000000001</v>
      </c>
      <c r="S255" s="20">
        <v>37987</v>
      </c>
    </row>
    <row r="256" spans="1:19" hidden="1" x14ac:dyDescent="0.25">
      <c r="A256" s="20"/>
      <c r="D256" s="2"/>
      <c r="F256" s="3"/>
      <c r="G256" s="3"/>
      <c r="H256" s="3"/>
      <c r="I256" s="3"/>
      <c r="J256" s="3"/>
      <c r="K256" s="3"/>
      <c r="M256" s="10"/>
      <c r="N256" s="3"/>
      <c r="O256" s="3"/>
      <c r="P256" s="3"/>
      <c r="R256">
        <v>0.39500000000000002</v>
      </c>
      <c r="S256" s="20">
        <v>38078</v>
      </c>
    </row>
    <row r="257" spans="1:19" hidden="1" x14ac:dyDescent="0.25">
      <c r="A257" s="20"/>
      <c r="D257" s="2"/>
      <c r="F257" s="3"/>
      <c r="G257" s="3"/>
      <c r="H257" s="3"/>
      <c r="I257" s="3"/>
      <c r="J257" s="3"/>
      <c r="K257" s="3"/>
      <c r="M257" s="10"/>
      <c r="N257" s="3"/>
      <c r="O257" s="3"/>
      <c r="P257" s="3"/>
      <c r="R257">
        <v>0.41399999999999998</v>
      </c>
      <c r="S257" s="20">
        <v>38169</v>
      </c>
    </row>
    <row r="258" spans="1:19" hidden="1" x14ac:dyDescent="0.25">
      <c r="A258" s="20"/>
      <c r="D258" s="2"/>
      <c r="F258" s="3"/>
      <c r="G258" s="3"/>
      <c r="H258" s="3"/>
      <c r="I258" s="3"/>
      <c r="J258" s="3"/>
      <c r="K258" s="3"/>
      <c r="M258" s="10"/>
      <c r="N258" s="3"/>
      <c r="O258" s="3"/>
      <c r="P258" s="3"/>
      <c r="R258">
        <v>0.46899999999999997</v>
      </c>
      <c r="S258" s="20">
        <v>38261</v>
      </c>
    </row>
    <row r="259" spans="1:19" hidden="1" x14ac:dyDescent="0.25">
      <c r="A259" s="20"/>
      <c r="D259" s="2"/>
      <c r="F259" s="3"/>
      <c r="G259" s="3"/>
      <c r="H259" s="3"/>
      <c r="I259" s="3"/>
      <c r="J259" s="3"/>
      <c r="K259" s="3"/>
      <c r="M259" s="10"/>
      <c r="N259" s="3"/>
      <c r="O259" s="3"/>
      <c r="P259" s="3"/>
      <c r="R259">
        <f>0.351+0.568</f>
        <v>0.91899999999999993</v>
      </c>
      <c r="S259" s="20">
        <v>38353</v>
      </c>
    </row>
    <row r="260" spans="1:19" hidden="1" x14ac:dyDescent="0.25">
      <c r="A260" s="20"/>
      <c r="D260" s="2"/>
      <c r="F260" s="3"/>
      <c r="G260" s="3"/>
      <c r="H260" s="3"/>
      <c r="I260" s="3"/>
      <c r="J260" s="3"/>
      <c r="K260" s="3"/>
      <c r="M260" s="10"/>
      <c r="N260" s="3"/>
      <c r="O260" s="3"/>
      <c r="P260" s="3"/>
      <c r="R260">
        <v>0.46700000000000003</v>
      </c>
      <c r="S260" s="20">
        <v>38443</v>
      </c>
    </row>
    <row r="261" spans="1:19" hidden="1" x14ac:dyDescent="0.25">
      <c r="A261" s="20"/>
      <c r="D261" s="2"/>
      <c r="F261" s="3"/>
      <c r="G261" s="3"/>
      <c r="H261" s="3"/>
      <c r="I261" s="3"/>
      <c r="J261" s="3"/>
      <c r="K261" s="3"/>
      <c r="M261" s="10"/>
      <c r="N261" s="3"/>
      <c r="O261" s="3"/>
      <c r="P261" s="3"/>
      <c r="R261">
        <v>0.48799999999999999</v>
      </c>
      <c r="S261" s="20">
        <v>38534</v>
      </c>
    </row>
    <row r="262" spans="1:19" hidden="1" x14ac:dyDescent="0.25">
      <c r="A262" s="20"/>
      <c r="D262" s="2"/>
      <c r="F262" s="3"/>
      <c r="G262" s="3"/>
      <c r="H262" s="3"/>
      <c r="I262" s="3"/>
      <c r="J262" s="3"/>
      <c r="K262" s="3"/>
      <c r="M262" s="10"/>
      <c r="N262" s="3"/>
      <c r="O262" s="3"/>
      <c r="P262" s="3"/>
      <c r="R262">
        <v>0.52200000000000002</v>
      </c>
      <c r="S262" s="20">
        <v>38626</v>
      </c>
    </row>
    <row r="263" spans="1:19" hidden="1" x14ac:dyDescent="0.25">
      <c r="A263" s="20"/>
      <c r="D263" s="2"/>
      <c r="F263" s="3"/>
      <c r="G263" s="3"/>
      <c r="H263" s="3"/>
      <c r="I263" s="3"/>
      <c r="J263" s="3"/>
      <c r="K263" s="3"/>
      <c r="M263" s="10"/>
      <c r="N263" s="3"/>
      <c r="O263" s="3"/>
      <c r="P263" s="3"/>
      <c r="R263">
        <v>0.67200000000000004</v>
      </c>
      <c r="S263" s="20">
        <v>38718</v>
      </c>
    </row>
    <row r="264" spans="1:19" hidden="1" x14ac:dyDescent="0.25">
      <c r="A264" s="20"/>
      <c r="D264" s="2"/>
      <c r="F264" s="3"/>
      <c r="G264" s="3"/>
      <c r="H264" s="3"/>
      <c r="I264" s="3"/>
      <c r="J264" s="3"/>
      <c r="K264" s="3"/>
      <c r="M264" s="10"/>
      <c r="N264" s="3"/>
      <c r="O264" s="3"/>
      <c r="P264" s="3"/>
      <c r="R264">
        <v>0.51900000000000002</v>
      </c>
      <c r="S264" s="20">
        <v>38808</v>
      </c>
    </row>
    <row r="265" spans="1:19" hidden="1" x14ac:dyDescent="0.25">
      <c r="A265" s="20"/>
      <c r="D265" s="2"/>
      <c r="F265" s="3"/>
      <c r="G265" s="3"/>
      <c r="H265" s="3"/>
      <c r="I265" s="3"/>
      <c r="J265" s="3"/>
      <c r="K265" s="3"/>
      <c r="M265" s="10"/>
      <c r="N265" s="3"/>
      <c r="O265" s="3"/>
      <c r="P265" s="3"/>
      <c r="R265">
        <v>0.55500000000000005</v>
      </c>
      <c r="S265" s="20">
        <v>38899</v>
      </c>
    </row>
    <row r="266" spans="1:19" hidden="1" x14ac:dyDescent="0.25">
      <c r="A266" s="20"/>
      <c r="D266" s="2"/>
      <c r="F266" s="3"/>
      <c r="G266" s="3"/>
      <c r="H266" s="3"/>
      <c r="I266" s="3"/>
      <c r="J266" s="3"/>
      <c r="K266" s="3"/>
      <c r="M266" s="10"/>
      <c r="N266" s="3"/>
      <c r="O266" s="3"/>
      <c r="P266" s="3"/>
      <c r="R266">
        <v>0.57899999999999996</v>
      </c>
      <c r="S266" s="20">
        <v>38991</v>
      </c>
    </row>
    <row r="267" spans="1:19" hidden="1" x14ac:dyDescent="0.25">
      <c r="A267" s="20"/>
      <c r="D267" s="2"/>
      <c r="F267" s="3"/>
      <c r="G267" s="3"/>
      <c r="H267" s="3"/>
      <c r="I267" s="3"/>
      <c r="J267" s="3"/>
      <c r="K267" s="3"/>
      <c r="M267" s="10"/>
      <c r="N267" s="3"/>
      <c r="O267" s="3"/>
      <c r="P267" s="3"/>
      <c r="R267">
        <v>0.79300000000000004</v>
      </c>
      <c r="S267" s="20">
        <v>39083</v>
      </c>
    </row>
    <row r="268" spans="1:19" hidden="1" x14ac:dyDescent="0.25">
      <c r="A268" s="20"/>
      <c r="D268" s="2"/>
      <c r="F268" s="3"/>
      <c r="G268" s="3"/>
      <c r="H268" s="3"/>
      <c r="I268" s="3"/>
      <c r="J268" s="3"/>
      <c r="K268" s="3"/>
      <c r="M268" s="10"/>
      <c r="N268" s="3"/>
      <c r="O268" s="3"/>
      <c r="P268" s="3"/>
      <c r="R268">
        <v>0.55100000000000005</v>
      </c>
      <c r="S268" s="20">
        <v>39173</v>
      </c>
    </row>
    <row r="269" spans="1:19" hidden="1" x14ac:dyDescent="0.25">
      <c r="A269" s="20"/>
      <c r="D269" s="2"/>
      <c r="F269" s="3"/>
      <c r="G269" s="3"/>
      <c r="H269" s="3"/>
      <c r="I269" s="3"/>
      <c r="J269" s="3"/>
      <c r="K269" s="3"/>
      <c r="M269" s="10"/>
      <c r="N269" s="3"/>
      <c r="O269" s="3"/>
      <c r="P269" s="3"/>
      <c r="R269">
        <v>0.65600000000000003</v>
      </c>
      <c r="S269" s="20">
        <v>39264</v>
      </c>
    </row>
    <row r="270" spans="1:19" hidden="1" x14ac:dyDescent="0.25">
      <c r="A270" s="20"/>
      <c r="D270" s="2"/>
      <c r="F270" s="3"/>
      <c r="G270" s="3"/>
      <c r="H270" s="3"/>
      <c r="I270" s="3"/>
      <c r="J270" s="3"/>
      <c r="K270" s="3"/>
      <c r="M270" s="10"/>
      <c r="N270" s="3"/>
      <c r="O270" s="3"/>
      <c r="P270" s="3"/>
      <c r="R270">
        <v>0.71899999999999997</v>
      </c>
      <c r="S270" s="20">
        <v>39356</v>
      </c>
    </row>
    <row r="271" spans="1:19" hidden="1" x14ac:dyDescent="0.25">
      <c r="A271" s="20"/>
      <c r="D271" s="2"/>
      <c r="F271" s="3"/>
      <c r="G271" s="3"/>
      <c r="H271" s="3"/>
      <c r="I271" s="3"/>
      <c r="J271" s="3"/>
      <c r="K271" s="3"/>
      <c r="M271" s="10"/>
      <c r="N271" s="3"/>
      <c r="O271" s="3"/>
      <c r="P271" s="3"/>
      <c r="R271">
        <v>0.77500000000000002</v>
      </c>
      <c r="S271" s="20">
        <v>39448</v>
      </c>
    </row>
    <row r="272" spans="1:19" hidden="1" x14ac:dyDescent="0.25">
      <c r="A272" s="20"/>
      <c r="D272" s="2"/>
      <c r="F272" s="3"/>
      <c r="G272" s="3"/>
      <c r="H272" s="3"/>
      <c r="I272" s="3"/>
      <c r="J272" s="3"/>
      <c r="K272" s="3"/>
      <c r="M272" s="10"/>
      <c r="N272" s="3"/>
      <c r="O272" s="3"/>
      <c r="P272" s="3"/>
      <c r="R272">
        <v>0.64200000000000002</v>
      </c>
      <c r="S272" s="20">
        <v>39539</v>
      </c>
    </row>
    <row r="273" spans="1:19" hidden="1" x14ac:dyDescent="0.25">
      <c r="A273" s="20"/>
      <c r="D273" s="2"/>
      <c r="F273" s="3"/>
      <c r="G273" s="3"/>
      <c r="H273" s="3"/>
      <c r="I273" s="3"/>
      <c r="J273" s="3"/>
      <c r="K273" s="3"/>
      <c r="M273" s="10"/>
      <c r="N273" s="3"/>
      <c r="O273" s="3"/>
      <c r="P273" s="3"/>
      <c r="R273">
        <v>0.66900000000000004</v>
      </c>
      <c r="S273" s="20">
        <v>39630</v>
      </c>
    </row>
    <row r="274" spans="1:19" hidden="1" x14ac:dyDescent="0.25">
      <c r="A274" s="20"/>
      <c r="D274" s="2"/>
      <c r="F274" s="3"/>
      <c r="G274" s="3"/>
      <c r="H274" s="3"/>
      <c r="I274" s="3"/>
      <c r="J274" s="3"/>
      <c r="K274" s="3"/>
      <c r="M274" s="10"/>
      <c r="N274" s="3"/>
      <c r="O274" s="3"/>
      <c r="P274" s="3"/>
      <c r="R274">
        <v>0.69099999999999995</v>
      </c>
      <c r="S274" s="20">
        <v>39722</v>
      </c>
    </row>
    <row r="275" spans="1:19" hidden="1" x14ac:dyDescent="0.25">
      <c r="A275" s="20"/>
      <c r="D275" s="2"/>
      <c r="F275" s="3"/>
      <c r="G275" s="3"/>
      <c r="H275" s="3"/>
      <c r="I275" s="3"/>
      <c r="J275" s="3"/>
      <c r="K275" s="3"/>
      <c r="M275" s="10"/>
      <c r="N275" s="3"/>
      <c r="O275" s="3"/>
      <c r="P275" s="3"/>
      <c r="R275">
        <v>0.71899999999999997</v>
      </c>
      <c r="S275" s="20">
        <v>39814</v>
      </c>
    </row>
    <row r="276" spans="1:19" hidden="1" x14ac:dyDescent="0.25">
      <c r="A276" s="20"/>
      <c r="D276" s="2"/>
      <c r="F276" s="3"/>
      <c r="G276" s="3"/>
      <c r="H276" s="3"/>
      <c r="I276" s="3"/>
      <c r="J276" s="3"/>
      <c r="K276" s="3"/>
      <c r="M276" s="10"/>
      <c r="N276" s="3"/>
      <c r="O276" s="3"/>
      <c r="P276" s="3"/>
      <c r="R276">
        <v>0.56100000000000005</v>
      </c>
      <c r="S276" s="20">
        <v>39904</v>
      </c>
    </row>
    <row r="277" spans="1:19" hidden="1" x14ac:dyDescent="0.25">
      <c r="A277" s="20"/>
      <c r="D277" s="2"/>
      <c r="F277" s="3"/>
      <c r="G277" s="3"/>
      <c r="H277" s="3"/>
      <c r="I277" s="3"/>
      <c r="J277" s="3"/>
      <c r="K277" s="3"/>
      <c r="M277" s="10"/>
      <c r="N277" s="3"/>
      <c r="O277" s="3"/>
      <c r="P277" s="3"/>
      <c r="R277">
        <v>0.51800000000000002</v>
      </c>
      <c r="S277" s="20">
        <v>39995</v>
      </c>
    </row>
    <row r="278" spans="1:19" hidden="1" x14ac:dyDescent="0.25">
      <c r="A278" s="20"/>
      <c r="D278" s="2"/>
      <c r="F278" s="3"/>
      <c r="G278" s="3"/>
      <c r="H278" s="3"/>
      <c r="I278" s="3"/>
      <c r="J278" s="3"/>
      <c r="K278" s="3"/>
      <c r="M278" s="10"/>
      <c r="N278" s="3"/>
      <c r="O278" s="3"/>
      <c r="P278" s="3"/>
      <c r="R278">
        <v>0.50800000000000001</v>
      </c>
      <c r="S278" s="20">
        <v>40087</v>
      </c>
    </row>
    <row r="279" spans="1:19" hidden="1" x14ac:dyDescent="0.25">
      <c r="A279" s="20"/>
      <c r="D279" s="2"/>
      <c r="F279" s="3"/>
      <c r="G279" s="3"/>
      <c r="H279" s="3"/>
      <c r="I279" s="3"/>
      <c r="J279" s="3"/>
      <c r="K279" s="3"/>
      <c r="M279" s="10"/>
      <c r="N279" s="3"/>
      <c r="O279" s="3"/>
      <c r="P279" s="3"/>
      <c r="R279">
        <v>0.59</v>
      </c>
      <c r="S279" s="20">
        <v>40179</v>
      </c>
    </row>
    <row r="280" spans="1:19" hidden="1" x14ac:dyDescent="0.25">
      <c r="A280" s="20"/>
      <c r="D280" s="2"/>
      <c r="F280" s="3"/>
      <c r="G280" s="3"/>
      <c r="H280" s="3"/>
      <c r="I280" s="3"/>
      <c r="J280" s="3"/>
      <c r="K280" s="3"/>
      <c r="M280" s="10"/>
      <c r="N280" s="3"/>
      <c r="O280" s="3"/>
      <c r="P280" s="3"/>
      <c r="R280">
        <v>0.48</v>
      </c>
      <c r="S280" s="20">
        <v>40269</v>
      </c>
    </row>
    <row r="281" spans="1:19" hidden="1" x14ac:dyDescent="0.25">
      <c r="A281" s="20"/>
      <c r="D281" s="2"/>
      <c r="F281" s="3"/>
      <c r="G281" s="3"/>
      <c r="H281" s="3"/>
      <c r="I281" s="3"/>
      <c r="J281" s="3"/>
      <c r="K281" s="3"/>
      <c r="M281" s="10"/>
      <c r="N281" s="3"/>
      <c r="O281" s="3"/>
      <c r="P281" s="3"/>
      <c r="R281">
        <v>0.53100000000000003</v>
      </c>
      <c r="S281" s="20">
        <v>40360</v>
      </c>
    </row>
    <row r="282" spans="1:19" hidden="1" x14ac:dyDescent="0.25">
      <c r="A282" s="20"/>
      <c r="D282" s="2"/>
      <c r="F282" s="3"/>
      <c r="G282" s="3"/>
      <c r="H282" s="3"/>
      <c r="I282" s="3"/>
      <c r="J282" s="3"/>
      <c r="K282" s="3"/>
      <c r="M282" s="10"/>
      <c r="N282" s="3"/>
      <c r="O282" s="3"/>
      <c r="P282" s="3"/>
      <c r="R282">
        <v>0.60199999999999998</v>
      </c>
      <c r="S282" s="20">
        <v>40452</v>
      </c>
    </row>
    <row r="283" spans="1:19" hidden="1" x14ac:dyDescent="0.25">
      <c r="A283" s="20"/>
      <c r="D283" s="2"/>
      <c r="F283" s="3"/>
      <c r="G283" s="3"/>
      <c r="H283" s="3"/>
      <c r="I283" s="3"/>
      <c r="J283" s="3"/>
      <c r="K283" s="3"/>
      <c r="M283" s="10"/>
      <c r="N283" s="3"/>
      <c r="O283" s="3"/>
      <c r="P283" s="3"/>
      <c r="R283">
        <v>0.65300000000000002</v>
      </c>
      <c r="S283" s="20">
        <v>40544</v>
      </c>
    </row>
    <row r="284" spans="1:19" hidden="1" x14ac:dyDescent="0.25">
      <c r="A284" s="20"/>
      <c r="D284" s="2"/>
      <c r="F284" s="3"/>
      <c r="G284" s="3"/>
      <c r="H284" s="3"/>
      <c r="I284" s="3"/>
      <c r="J284" s="3"/>
      <c r="K284" s="3"/>
      <c r="M284" s="10"/>
      <c r="N284" s="3"/>
      <c r="O284" s="3"/>
      <c r="P284" s="3"/>
      <c r="R284">
        <v>0.55300000000000005</v>
      </c>
      <c r="S284" s="20">
        <v>40634</v>
      </c>
    </row>
    <row r="285" spans="1:19" hidden="1" x14ac:dyDescent="0.25">
      <c r="A285" s="20"/>
      <c r="D285" s="2"/>
      <c r="F285" s="3"/>
      <c r="G285" s="3"/>
      <c r="H285" s="3"/>
      <c r="I285" s="3"/>
      <c r="J285" s="3"/>
      <c r="K285" s="3"/>
      <c r="M285" s="10"/>
      <c r="N285" s="3"/>
      <c r="O285" s="3"/>
      <c r="P285" s="3"/>
      <c r="R285">
        <v>0.628</v>
      </c>
      <c r="S285" s="20">
        <v>40725</v>
      </c>
    </row>
    <row r="286" spans="1:19" hidden="1" x14ac:dyDescent="0.25">
      <c r="A286" s="20"/>
      <c r="D286" s="2"/>
      <c r="F286" s="3"/>
      <c r="G286" s="3"/>
      <c r="H286" s="3"/>
      <c r="I286" s="3"/>
      <c r="J286" s="3"/>
      <c r="K286" s="3"/>
      <c r="M286" s="10"/>
      <c r="N286" s="3"/>
      <c r="O286" s="3"/>
      <c r="P286" s="3"/>
      <c r="R286">
        <v>0.625</v>
      </c>
      <c r="S286" s="20">
        <v>40817</v>
      </c>
    </row>
    <row r="287" spans="1:19" hidden="1" x14ac:dyDescent="0.25">
      <c r="A287" s="20"/>
      <c r="D287" s="2"/>
      <c r="F287" s="3"/>
      <c r="G287" s="3"/>
      <c r="H287" s="3"/>
      <c r="I287" s="3"/>
      <c r="J287" s="3"/>
      <c r="K287" s="3"/>
      <c r="M287" s="10"/>
      <c r="N287" s="3"/>
      <c r="O287" s="3"/>
      <c r="P287" s="3"/>
      <c r="R287">
        <v>0.77</v>
      </c>
      <c r="S287" s="20">
        <v>40909</v>
      </c>
    </row>
    <row r="288" spans="1:19" hidden="1" x14ac:dyDescent="0.25">
      <c r="A288" s="20"/>
      <c r="D288" s="2"/>
      <c r="F288" s="3"/>
      <c r="G288" s="3"/>
      <c r="H288" s="3"/>
      <c r="I288" s="3"/>
      <c r="J288" s="3"/>
      <c r="K288" s="3"/>
      <c r="M288" s="10"/>
      <c r="N288" s="3"/>
      <c r="O288" s="3"/>
      <c r="P288" s="3"/>
      <c r="R288">
        <v>0.61399999999999999</v>
      </c>
      <c r="S288" s="20">
        <v>41000</v>
      </c>
    </row>
    <row r="289" spans="1:19" hidden="1" x14ac:dyDescent="0.25">
      <c r="A289" s="20"/>
      <c r="D289" s="2"/>
      <c r="F289" s="3"/>
      <c r="G289" s="3"/>
      <c r="H289" s="3"/>
      <c r="I289" s="3"/>
      <c r="J289" s="3"/>
      <c r="K289" s="3"/>
      <c r="M289" s="10"/>
      <c r="N289" s="3"/>
      <c r="O289" s="3"/>
      <c r="P289" s="3"/>
      <c r="R289">
        <v>0.68799999999999994</v>
      </c>
      <c r="S289" s="20">
        <v>41091</v>
      </c>
    </row>
    <row r="290" spans="1:19" hidden="1" x14ac:dyDescent="0.25">
      <c r="A290" s="20"/>
      <c r="D290" s="2"/>
      <c r="F290" s="3"/>
      <c r="G290" s="3"/>
      <c r="H290" s="3"/>
      <c r="I290" s="3"/>
      <c r="J290" s="3"/>
      <c r="K290" s="3"/>
      <c r="M290" s="10"/>
      <c r="N290" s="3"/>
      <c r="O290" s="3"/>
      <c r="P290" s="3"/>
      <c r="R290">
        <v>0.77900000000000003</v>
      </c>
      <c r="S290" s="20">
        <v>41183</v>
      </c>
    </row>
    <row r="291" spans="1:19" hidden="1" x14ac:dyDescent="0.25">
      <c r="A291" s="20"/>
      <c r="D291" s="2"/>
      <c r="F291" s="3"/>
      <c r="G291" s="3"/>
      <c r="H291" s="3"/>
      <c r="I291" s="3"/>
      <c r="J291" s="3"/>
      <c r="K291" s="3"/>
      <c r="M291" s="10"/>
      <c r="N291" s="3"/>
      <c r="O291" s="3"/>
      <c r="P291" s="3"/>
      <c r="R291">
        <v>1.022</v>
      </c>
      <c r="S291" s="20">
        <v>41275</v>
      </c>
    </row>
    <row r="292" spans="1:19" hidden="1" x14ac:dyDescent="0.25">
      <c r="A292" s="20"/>
      <c r="D292" s="2"/>
      <c r="F292" s="3"/>
      <c r="G292" s="3"/>
      <c r="H292" s="3"/>
      <c r="I292" s="3"/>
      <c r="J292" s="3"/>
      <c r="K292" s="3"/>
      <c r="M292" s="10"/>
      <c r="N292" s="3"/>
      <c r="O292" s="3"/>
      <c r="P292" s="3"/>
      <c r="R292">
        <v>0.69399999999999995</v>
      </c>
      <c r="S292" s="20">
        <v>41365</v>
      </c>
    </row>
    <row r="293" spans="1:19" hidden="1" x14ac:dyDescent="0.25">
      <c r="A293" s="20"/>
      <c r="D293" s="2"/>
      <c r="F293" s="3"/>
      <c r="G293" s="3"/>
      <c r="H293" s="3"/>
      <c r="I293" s="3"/>
      <c r="J293" s="3"/>
      <c r="K293" s="3"/>
      <c r="M293" s="10"/>
      <c r="N293" s="3"/>
      <c r="O293" s="3"/>
      <c r="P293" s="3"/>
      <c r="R293">
        <v>0.83899999999999997</v>
      </c>
      <c r="S293" s="20">
        <v>41456</v>
      </c>
    </row>
    <row r="294" spans="1:19" hidden="1" x14ac:dyDescent="0.25">
      <c r="A294" s="20"/>
      <c r="D294" s="2"/>
      <c r="F294" s="3"/>
      <c r="G294" s="3"/>
      <c r="H294" s="3"/>
      <c r="I294" s="3"/>
      <c r="J294" s="3"/>
      <c r="K294" s="3"/>
      <c r="M294" s="10"/>
      <c r="N294" s="3"/>
      <c r="O294" s="3"/>
      <c r="P294" s="3"/>
      <c r="R294">
        <v>0.83799999999999997</v>
      </c>
      <c r="S294" s="20">
        <v>41548</v>
      </c>
    </row>
    <row r="295" spans="1:19" hidden="1" x14ac:dyDescent="0.25">
      <c r="D295" s="2"/>
      <c r="F295" s="3"/>
      <c r="G295" s="3"/>
      <c r="H295" s="3"/>
      <c r="I295" s="3"/>
      <c r="J295" s="3"/>
      <c r="K295" s="3"/>
      <c r="M295" s="10"/>
      <c r="N295" s="3"/>
      <c r="O295" s="3"/>
      <c r="P295" s="3"/>
    </row>
    <row r="296" spans="1:19" hidden="1" x14ac:dyDescent="0.25">
      <c r="D296" s="2"/>
      <c r="F296" s="3"/>
      <c r="G296" s="3"/>
      <c r="H296" s="3"/>
      <c r="I296" s="3"/>
      <c r="J296" s="3"/>
      <c r="K296" s="3"/>
      <c r="M296" s="3"/>
      <c r="N296" s="3"/>
      <c r="O296" s="3"/>
      <c r="P296" s="3"/>
    </row>
    <row r="297" spans="1:19" hidden="1" x14ac:dyDescent="0.25">
      <c r="D297" s="2"/>
      <c r="F297" s="3"/>
      <c r="G297" s="3"/>
      <c r="H297" s="3"/>
      <c r="I297" s="3"/>
      <c r="J297" s="3"/>
      <c r="K297" s="3"/>
      <c r="M297" s="10"/>
      <c r="N297" s="3"/>
      <c r="O297" s="3"/>
      <c r="P297" s="3"/>
    </row>
    <row r="298" spans="1:19" hidden="1" x14ac:dyDescent="0.25">
      <c r="C298" s="2"/>
      <c r="F298" s="3"/>
      <c r="G298" s="3"/>
      <c r="H298" s="3"/>
      <c r="I298" s="3"/>
      <c r="J298" s="3"/>
      <c r="K298" s="3"/>
      <c r="M298" s="10"/>
      <c r="N298" s="3"/>
      <c r="O298" s="3"/>
      <c r="P298" s="3"/>
    </row>
    <row r="299" spans="1:19" hidden="1" x14ac:dyDescent="0.25">
      <c r="D299" s="2"/>
      <c r="F299" s="3"/>
      <c r="G299" s="3"/>
      <c r="H299" s="3"/>
      <c r="I299" s="3"/>
      <c r="J299" s="3"/>
      <c r="K299" s="3"/>
      <c r="M299" s="10"/>
      <c r="N299" s="3"/>
      <c r="O299" s="3"/>
      <c r="P299" s="3"/>
    </row>
    <row r="300" spans="1:19" hidden="1" x14ac:dyDescent="0.25">
      <c r="D300" s="2"/>
      <c r="F300" s="3"/>
      <c r="G300" s="3"/>
      <c r="H300" s="3"/>
      <c r="I300" s="3"/>
      <c r="J300" s="3"/>
      <c r="K300" s="3"/>
      <c r="M300" s="10"/>
      <c r="N300" s="3"/>
      <c r="O300" s="3"/>
      <c r="P300" s="3"/>
    </row>
    <row r="301" spans="1:19" hidden="1" x14ac:dyDescent="0.25">
      <c r="D301" s="2"/>
      <c r="F301" s="12"/>
      <c r="G301" s="3"/>
      <c r="H301" s="3"/>
      <c r="I301" s="3"/>
      <c r="J301" s="3"/>
      <c r="K301" s="3"/>
      <c r="M301" s="10"/>
      <c r="N301" s="3"/>
      <c r="O301" s="3"/>
      <c r="P301" s="3"/>
    </row>
    <row r="302" spans="1:19" x14ac:dyDescent="0.25">
      <c r="D302" s="2"/>
      <c r="F302" s="3"/>
      <c r="G302" s="3"/>
      <c r="H302" s="3"/>
      <c r="I302" s="3"/>
      <c r="J302" s="3"/>
      <c r="K302" s="3"/>
      <c r="M302" s="10"/>
      <c r="N302" s="3"/>
      <c r="O302" s="3"/>
      <c r="P302" s="3"/>
    </row>
    <row r="303" spans="1:19" x14ac:dyDescent="0.25">
      <c r="A303" t="s">
        <v>510</v>
      </c>
      <c r="D303" s="2"/>
      <c r="F303" s="3"/>
      <c r="G303" s="3"/>
      <c r="H303" s="3"/>
      <c r="I303" s="3"/>
      <c r="J303" s="3"/>
      <c r="K303" s="3"/>
      <c r="M303" s="10"/>
      <c r="N303" s="3"/>
      <c r="O303" s="3"/>
      <c r="P303" s="3"/>
    </row>
    <row r="304" spans="1:19" x14ac:dyDescent="0.25">
      <c r="D304" s="2">
        <v>35425</v>
      </c>
      <c r="E304" s="13">
        <f ca="1">D304+(365.25*N304)</f>
        <v>41627.245205479448</v>
      </c>
      <c r="F304" s="3">
        <v>75.78</v>
      </c>
      <c r="G304" s="3">
        <f>1000/F304</f>
        <v>13.196093956188967</v>
      </c>
      <c r="H304" s="3">
        <v>1</v>
      </c>
      <c r="I304" s="3">
        <f>G304*SUM(R229:R294)</f>
        <v>455.97783056215349</v>
      </c>
      <c r="J304" s="3">
        <v>0</v>
      </c>
      <c r="K304" s="3">
        <f>'Data (ignore)'!$B$1188</f>
        <v>178.13</v>
      </c>
      <c r="L304" s="15">
        <v>-1000</v>
      </c>
      <c r="M304" s="10">
        <f t="shared" ref="M304:M313" si="59">G304*H304*K304+(I304)+(J304)</f>
        <v>2806.5980469780943</v>
      </c>
      <c r="N304" s="3">
        <f ca="1">($Z$17-D304)/365</f>
        <v>16.980821917808218</v>
      </c>
      <c r="O304" s="12">
        <f t="shared" ref="O304:O321" si="60">(M304-1000)/1000</f>
        <v>1.8065980469780942</v>
      </c>
      <c r="P304" s="12">
        <f ca="1">(M304/1000)^(1/N304)-1</f>
        <v>6.2657513328492342E-2</v>
      </c>
    </row>
    <row r="305" spans="4:16" x14ac:dyDescent="0.25">
      <c r="D305" s="2">
        <v>35439</v>
      </c>
      <c r="E305" s="13">
        <f t="shared" ref="E305:E368" ca="1" si="61">D305+(365.25*N305)</f>
        <v>41627.235616438353</v>
      </c>
      <c r="F305" s="3">
        <v>75.31</v>
      </c>
      <c r="G305" s="3">
        <f t="shared" ref="G305:G367" si="62">1000/F305</f>
        <v>13.278449077147789</v>
      </c>
      <c r="H305" s="3">
        <v>1</v>
      </c>
      <c r="I305" s="3">
        <f>G305*SUM(R230:R294)</f>
        <v>454.30885672553433</v>
      </c>
      <c r="J305" s="3">
        <v>0</v>
      </c>
      <c r="K305" s="3">
        <f>'Data (ignore)'!$B$1188</f>
        <v>178.13</v>
      </c>
      <c r="L305" s="15">
        <v>-1000</v>
      </c>
      <c r="M305" s="10">
        <f t="shared" si="59"/>
        <v>2819.5989908378701</v>
      </c>
      <c r="N305" s="3">
        <f ca="1">($Z$17-D305)/365</f>
        <v>16.942465753424656</v>
      </c>
      <c r="O305" s="12">
        <f t="shared" si="60"/>
        <v>1.81959899083787</v>
      </c>
      <c r="P305" s="12">
        <f ca="1">(M305/1000)^(1/N305)-1</f>
        <v>6.3093680350666759E-2</v>
      </c>
    </row>
    <row r="306" spans="4:16" x14ac:dyDescent="0.25">
      <c r="D306" s="2">
        <v>35528</v>
      </c>
      <c r="E306" s="13">
        <f t="shared" ca="1" si="61"/>
        <v>41627.174657534248</v>
      </c>
      <c r="F306" s="3">
        <v>76.69</v>
      </c>
      <c r="G306" s="3">
        <f t="shared" si="62"/>
        <v>13.039509714434738</v>
      </c>
      <c r="H306" s="3">
        <v>1</v>
      </c>
      <c r="I306" s="3">
        <f>G306*SUM(R231:R294)</f>
        <v>441.56995696961792</v>
      </c>
      <c r="J306" s="3">
        <v>0</v>
      </c>
      <c r="K306" s="3">
        <f>'Data (ignore)'!$B$1188</f>
        <v>178.13</v>
      </c>
      <c r="L306" s="15">
        <v>-1000</v>
      </c>
      <c r="M306" s="10">
        <f t="shared" si="59"/>
        <v>2764.297822401878</v>
      </c>
      <c r="N306" s="3">
        <f ca="1">($Z$17-D306)/365</f>
        <v>16.698630136986303</v>
      </c>
      <c r="O306" s="12">
        <f t="shared" si="60"/>
        <v>1.7642978224018779</v>
      </c>
      <c r="P306" s="12">
        <f ca="1">(M306/1000)^(1/N306)-1</f>
        <v>6.2782451169476339E-2</v>
      </c>
    </row>
    <row r="307" spans="4:16" x14ac:dyDescent="0.25">
      <c r="D307" s="2">
        <v>35541</v>
      </c>
      <c r="E307" s="13">
        <f t="shared" si="61"/>
        <v>36629.745205479456</v>
      </c>
      <c r="F307" s="3">
        <v>76.06</v>
      </c>
      <c r="G307" s="3">
        <f t="shared" si="62"/>
        <v>13.147515119642387</v>
      </c>
      <c r="H307" s="3">
        <v>1</v>
      </c>
      <c r="I307" s="3">
        <f>G307*SUM(R229:R240)</f>
        <v>55.364186168814086</v>
      </c>
      <c r="J307" s="3">
        <v>0</v>
      </c>
      <c r="K307" s="3">
        <v>144.25</v>
      </c>
      <c r="L307" s="15">
        <v>-1000</v>
      </c>
      <c r="M307" s="10">
        <f t="shared" si="59"/>
        <v>1951.8932421772283</v>
      </c>
      <c r="N307" s="3">
        <f>(DATE(2000,4,13)-D307)/365</f>
        <v>2.9808219178082194</v>
      </c>
      <c r="O307" s="12">
        <f t="shared" si="60"/>
        <v>0.95189324217722837</v>
      </c>
      <c r="P307" s="12">
        <f>(M307/1000)^(1/N307)-1</f>
        <v>0.25153097049282391</v>
      </c>
    </row>
    <row r="308" spans="4:16" x14ac:dyDescent="0.25">
      <c r="D308" s="2">
        <v>35710</v>
      </c>
      <c r="E308" s="13">
        <f t="shared" si="61"/>
        <v>40394.206164383562</v>
      </c>
      <c r="F308" s="3">
        <v>98.19</v>
      </c>
      <c r="G308" s="3">
        <f t="shared" si="62"/>
        <v>10.184336490477646</v>
      </c>
      <c r="H308" s="3">
        <v>1</v>
      </c>
      <c r="I308" s="3">
        <f>G308*SUM(R231:R281)</f>
        <v>250.11711986964048</v>
      </c>
      <c r="J308" s="3">
        <v>0</v>
      </c>
      <c r="K308" s="3">
        <v>112.76</v>
      </c>
      <c r="L308" s="15">
        <v>-1000</v>
      </c>
      <c r="M308" s="10">
        <f t="shared" si="59"/>
        <v>1398.5029025358999</v>
      </c>
      <c r="N308" s="3">
        <f>(DATE(2010,8,1)-D308)/365</f>
        <v>12.824657534246576</v>
      </c>
      <c r="O308" s="12">
        <f t="shared" si="60"/>
        <v>0.39850290253589993</v>
      </c>
      <c r="P308" s="12">
        <f>(M308/1000)^(1/N308)-1</f>
        <v>2.6497913862936207E-2</v>
      </c>
    </row>
    <row r="309" spans="4:16" x14ac:dyDescent="0.25">
      <c r="D309" s="2">
        <v>35902</v>
      </c>
      <c r="E309" s="13">
        <f t="shared" si="61"/>
        <v>36308.278082191784</v>
      </c>
      <c r="F309" s="3">
        <v>112.28</v>
      </c>
      <c r="G309" s="3">
        <f t="shared" si="62"/>
        <v>8.9063056644104019</v>
      </c>
      <c r="H309" s="3">
        <v>1</v>
      </c>
      <c r="I309" s="3">
        <f>G309*SUM(R233:R236)</f>
        <v>12.459921624510153</v>
      </c>
      <c r="J309" s="3">
        <v>0</v>
      </c>
      <c r="K309" s="3">
        <v>130.19999999999999</v>
      </c>
      <c r="L309" s="15">
        <v>-1000</v>
      </c>
      <c r="M309" s="10">
        <f t="shared" si="59"/>
        <v>1172.0609191307444</v>
      </c>
      <c r="N309" s="3">
        <f>(DATE(1999,5,28)-D309)/365</f>
        <v>1.1123287671232878</v>
      </c>
      <c r="O309" s="12">
        <f t="shared" si="60"/>
        <v>0.17206091913074442</v>
      </c>
      <c r="P309" s="12">
        <f>O309/N309</f>
        <v>0.15468530907074313</v>
      </c>
    </row>
    <row r="310" spans="4:16" x14ac:dyDescent="0.25">
      <c r="D310" s="2">
        <v>36020</v>
      </c>
      <c r="E310" s="13">
        <f t="shared" si="61"/>
        <v>36567.374657534245</v>
      </c>
      <c r="F310" s="3">
        <v>107.37</v>
      </c>
      <c r="G310" s="3">
        <f t="shared" si="62"/>
        <v>9.3135885256589361</v>
      </c>
      <c r="H310" s="3">
        <v>1</v>
      </c>
      <c r="I310" s="3">
        <f>G310*SUM(R234:R239)</f>
        <v>19.642358200614698</v>
      </c>
      <c r="J310" s="3">
        <v>0</v>
      </c>
      <c r="K310" s="3">
        <v>138.69</v>
      </c>
      <c r="L310" s="15">
        <v>-1000</v>
      </c>
      <c r="M310" s="10">
        <f t="shared" si="59"/>
        <v>1311.3439508242527</v>
      </c>
      <c r="N310" s="3">
        <f>(DATE(2000,2,11)-D310)/365</f>
        <v>1.4986301369863013</v>
      </c>
      <c r="O310" s="12">
        <f t="shared" si="60"/>
        <v>0.3113439508242527</v>
      </c>
      <c r="P310" s="12">
        <f>(M310/1000)^(1/N310)-1</f>
        <v>0.19825563355861342</v>
      </c>
    </row>
    <row r="311" spans="4:16" x14ac:dyDescent="0.25">
      <c r="D311" s="2">
        <v>36115</v>
      </c>
      <c r="E311" s="13">
        <f t="shared" si="61"/>
        <v>36308.132191780824</v>
      </c>
      <c r="F311" s="3">
        <v>114.06</v>
      </c>
      <c r="G311" s="3">
        <f t="shared" si="62"/>
        <v>8.7673154480098194</v>
      </c>
      <c r="H311" s="3">
        <v>1</v>
      </c>
      <c r="I311" s="3">
        <f>G311*SUM(R235:R236)</f>
        <v>6.1634227599509028</v>
      </c>
      <c r="J311" s="3">
        <v>0</v>
      </c>
      <c r="K311" s="3">
        <v>130.19999999999999</v>
      </c>
      <c r="L311" s="15">
        <v>-1000</v>
      </c>
      <c r="M311" s="10">
        <f t="shared" si="59"/>
        <v>1147.6678940908293</v>
      </c>
      <c r="N311" s="3">
        <f>(DATE(1999,5,28)-D311)/365</f>
        <v>0.52876712328767128</v>
      </c>
      <c r="O311" s="12">
        <f t="shared" si="60"/>
        <v>0.14766789409082934</v>
      </c>
      <c r="P311" s="12">
        <f>O311/N311</f>
        <v>0.27926829711478085</v>
      </c>
    </row>
    <row r="312" spans="4:16" x14ac:dyDescent="0.25">
      <c r="D312" s="2">
        <v>36480</v>
      </c>
      <c r="E312" s="13">
        <f t="shared" ca="1" si="61"/>
        <v>41626.522602739729</v>
      </c>
      <c r="F312" s="3">
        <v>141.25</v>
      </c>
      <c r="G312" s="3">
        <f t="shared" si="62"/>
        <v>7.0796460176991154</v>
      </c>
      <c r="H312" s="3">
        <v>1</v>
      </c>
      <c r="I312" s="3">
        <f>G312*SUM(R239:R294)</f>
        <v>219.90796460176992</v>
      </c>
      <c r="J312" s="3">
        <v>0</v>
      </c>
      <c r="K312" s="3">
        <f>'Data (ignore)'!$B$1188</f>
        <v>178.13</v>
      </c>
      <c r="L312" s="15">
        <v>-1000</v>
      </c>
      <c r="M312" s="10">
        <f t="shared" si="59"/>
        <v>1481.0053097345133</v>
      </c>
      <c r="N312" s="3">
        <f ca="1">($Z$17-D312)/365</f>
        <v>14.09041095890411</v>
      </c>
      <c r="O312" s="12">
        <f t="shared" si="60"/>
        <v>0.48100530973451328</v>
      </c>
      <c r="P312" s="12">
        <f t="shared" ref="P312:P362" ca="1" si="63">(M312/1000)^(1/N312)-1</f>
        <v>2.8263560958261547E-2</v>
      </c>
    </row>
    <row r="313" spans="4:16" x14ac:dyDescent="0.25">
      <c r="D313" s="2">
        <v>36599</v>
      </c>
      <c r="E313" s="13">
        <f t="shared" si="61"/>
        <v>39016.654794520546</v>
      </c>
      <c r="F313" s="3">
        <v>136.63</v>
      </c>
      <c r="G313" s="3">
        <f t="shared" si="62"/>
        <v>7.3190368147551785</v>
      </c>
      <c r="H313" s="3">
        <v>1</v>
      </c>
      <c r="I313" s="3">
        <f>G313*SUM(R240:R266)</f>
        <v>87.872355997950692</v>
      </c>
      <c r="J313" s="3">
        <v>0</v>
      </c>
      <c r="K313" s="3">
        <v>138.35</v>
      </c>
      <c r="L313" s="15">
        <v>-1000</v>
      </c>
      <c r="M313" s="10">
        <f t="shared" si="59"/>
        <v>1100.4610993193296</v>
      </c>
      <c r="N313" s="3">
        <f>(DATE(2006,10,25)-D313)/365</f>
        <v>6.6191780821917812</v>
      </c>
      <c r="O313" s="12">
        <f t="shared" si="60"/>
        <v>0.1004610993193296</v>
      </c>
      <c r="P313" s="12">
        <f t="shared" si="63"/>
        <v>1.4567497544299313E-2</v>
      </c>
    </row>
    <row r="314" spans="4:16" x14ac:dyDescent="0.25">
      <c r="D314" s="2">
        <v>36599</v>
      </c>
      <c r="E314" s="13">
        <f t="shared" ca="1" si="61"/>
        <v>41626.441095890412</v>
      </c>
      <c r="F314" s="3">
        <v>136.63</v>
      </c>
      <c r="G314" s="3">
        <f t="shared" si="62"/>
        <v>7.3190368147551785</v>
      </c>
      <c r="H314" s="3">
        <v>1</v>
      </c>
      <c r="I314" s="3">
        <f>G314*SUM(R240:R294)</f>
        <v>224.79689672839055</v>
      </c>
      <c r="J314" s="3">
        <v>0</v>
      </c>
      <c r="K314" s="3">
        <f>'Data (ignore)'!$B$1188</f>
        <v>178.13</v>
      </c>
      <c r="L314" s="15">
        <v>-1000</v>
      </c>
      <c r="M314" s="10">
        <f t="shared" ref="M314:M329" si="64">G314*H314*K314+(I314)+(J314)</f>
        <v>1528.5369245407305</v>
      </c>
      <c r="N314" s="3">
        <f t="shared" ref="N314:N323" ca="1" si="65">($Z$17-D314)/365</f>
        <v>13.764383561643836</v>
      </c>
      <c r="O314" s="12">
        <f t="shared" si="60"/>
        <v>0.52853692454073053</v>
      </c>
      <c r="P314" s="12">
        <f t="shared" ca="1" si="63"/>
        <v>3.1306800151748249E-2</v>
      </c>
    </row>
    <row r="315" spans="4:16" x14ac:dyDescent="0.25">
      <c r="D315" s="2">
        <v>36599</v>
      </c>
      <c r="E315" s="13">
        <f t="shared" ca="1" si="61"/>
        <v>41626.441095890412</v>
      </c>
      <c r="F315" s="3">
        <v>136.63</v>
      </c>
      <c r="G315" s="3">
        <f t="shared" si="62"/>
        <v>7.3190368147551785</v>
      </c>
      <c r="H315" s="3">
        <v>1</v>
      </c>
      <c r="I315" s="3">
        <f>G315*SUM(R240:R294)</f>
        <v>224.79689672839055</v>
      </c>
      <c r="J315" s="3">
        <v>0</v>
      </c>
      <c r="K315" s="3">
        <f>'Data (ignore)'!$B$1188</f>
        <v>178.13</v>
      </c>
      <c r="L315" s="15">
        <v>-1000</v>
      </c>
      <c r="M315" s="10">
        <f t="shared" si="64"/>
        <v>1528.5369245407305</v>
      </c>
      <c r="N315" s="3">
        <f t="shared" ca="1" si="65"/>
        <v>13.764383561643836</v>
      </c>
      <c r="O315" s="12">
        <f t="shared" si="60"/>
        <v>0.52853692454073053</v>
      </c>
      <c r="P315" s="12">
        <f t="shared" ca="1" si="63"/>
        <v>3.1306800151748249E-2</v>
      </c>
    </row>
    <row r="316" spans="4:16" x14ac:dyDescent="0.25">
      <c r="D316" s="2">
        <v>36599</v>
      </c>
      <c r="E316" s="13">
        <f t="shared" ca="1" si="61"/>
        <v>41626.441095890412</v>
      </c>
      <c r="F316" s="3">
        <v>136.63</v>
      </c>
      <c r="G316" s="3">
        <f t="shared" si="62"/>
        <v>7.3190368147551785</v>
      </c>
      <c r="H316" s="3">
        <v>1</v>
      </c>
      <c r="I316" s="3">
        <f>G316*SUM(R240:R294)</f>
        <v>224.79689672839055</v>
      </c>
      <c r="J316" s="3">
        <v>0</v>
      </c>
      <c r="K316" s="3">
        <f>'Data (ignore)'!$B$1188</f>
        <v>178.13</v>
      </c>
      <c r="L316" s="15">
        <v>-1000</v>
      </c>
      <c r="M316" s="10">
        <f t="shared" si="64"/>
        <v>1528.5369245407305</v>
      </c>
      <c r="N316" s="3">
        <f t="shared" ca="1" si="65"/>
        <v>13.764383561643836</v>
      </c>
      <c r="O316" s="12">
        <f t="shared" si="60"/>
        <v>0.52853692454073053</v>
      </c>
      <c r="P316" s="12">
        <f t="shared" ca="1" si="63"/>
        <v>3.1306800151748249E-2</v>
      </c>
    </row>
    <row r="317" spans="4:16" x14ac:dyDescent="0.25">
      <c r="D317" s="2">
        <v>36599</v>
      </c>
      <c r="E317" s="13">
        <f t="shared" ca="1" si="61"/>
        <v>41626.441095890412</v>
      </c>
      <c r="F317" s="3">
        <v>136.63</v>
      </c>
      <c r="G317" s="3">
        <f t="shared" si="62"/>
        <v>7.3190368147551785</v>
      </c>
      <c r="H317" s="3">
        <v>1</v>
      </c>
      <c r="I317" s="3">
        <f>G317*SUM(R240:R294)</f>
        <v>224.79689672839055</v>
      </c>
      <c r="J317" s="3">
        <v>0</v>
      </c>
      <c r="K317" s="3">
        <f>'Data (ignore)'!$B$1188</f>
        <v>178.13</v>
      </c>
      <c r="L317" s="15">
        <v>-1000</v>
      </c>
      <c r="M317" s="10">
        <f t="shared" si="64"/>
        <v>1528.5369245407305</v>
      </c>
      <c r="N317" s="3">
        <f t="shared" ca="1" si="65"/>
        <v>13.764383561643836</v>
      </c>
      <c r="O317" s="12">
        <f t="shared" si="60"/>
        <v>0.52853692454073053</v>
      </c>
      <c r="P317" s="12">
        <f t="shared" ca="1" si="63"/>
        <v>3.1306800151748249E-2</v>
      </c>
    </row>
    <row r="318" spans="4:16" x14ac:dyDescent="0.25">
      <c r="D318" s="2">
        <v>36649</v>
      </c>
      <c r="E318" s="13">
        <f t="shared" ca="1" si="61"/>
        <v>41626.40684931507</v>
      </c>
      <c r="F318" s="3">
        <v>140.75</v>
      </c>
      <c r="G318" s="3">
        <f t="shared" si="62"/>
        <v>7.1047957371225579</v>
      </c>
      <c r="H318" s="3">
        <v>1</v>
      </c>
      <c r="I318" s="3">
        <f>G318*SUM(R241:R294)</f>
        <v>215.58081705150974</v>
      </c>
      <c r="J318" s="3">
        <v>0</v>
      </c>
      <c r="K318" s="3">
        <f>'Data (ignore)'!$B$1188</f>
        <v>178.13</v>
      </c>
      <c r="L318" s="15">
        <v>-1000</v>
      </c>
      <c r="M318" s="10">
        <f t="shared" si="64"/>
        <v>1481.1580817051508</v>
      </c>
      <c r="N318" s="3">
        <f t="shared" ca="1" si="65"/>
        <v>13.627397260273973</v>
      </c>
      <c r="O318" s="12">
        <f t="shared" si="60"/>
        <v>0.48115808170515084</v>
      </c>
      <c r="P318" s="12">
        <f t="shared" ca="1" si="63"/>
        <v>2.9245559362024665E-2</v>
      </c>
    </row>
    <row r="319" spans="4:16" x14ac:dyDescent="0.25">
      <c r="D319" s="2">
        <v>36649</v>
      </c>
      <c r="E319" s="13">
        <f t="shared" ca="1" si="61"/>
        <v>41626.40684931507</v>
      </c>
      <c r="F319" s="3">
        <v>140.75</v>
      </c>
      <c r="G319" s="3">
        <f t="shared" si="62"/>
        <v>7.1047957371225579</v>
      </c>
      <c r="H319" s="3">
        <v>1</v>
      </c>
      <c r="I319" s="3">
        <f>G319*SUM(R241:R294)</f>
        <v>215.58081705150974</v>
      </c>
      <c r="J319" s="3">
        <v>0</v>
      </c>
      <c r="K319" s="3">
        <f>'Data (ignore)'!$B$1188</f>
        <v>178.13</v>
      </c>
      <c r="L319" s="15">
        <v>-1000</v>
      </c>
      <c r="M319" s="10">
        <f t="shared" si="64"/>
        <v>1481.1580817051508</v>
      </c>
      <c r="N319" s="3">
        <f t="shared" ca="1" si="65"/>
        <v>13.627397260273973</v>
      </c>
      <c r="O319" s="12">
        <f t="shared" si="60"/>
        <v>0.48115808170515084</v>
      </c>
      <c r="P319" s="12">
        <f t="shared" ca="1" si="63"/>
        <v>2.9245559362024665E-2</v>
      </c>
    </row>
    <row r="320" spans="4:16" x14ac:dyDescent="0.25">
      <c r="D320" s="2">
        <v>36649</v>
      </c>
      <c r="E320" s="13">
        <f t="shared" ca="1" si="61"/>
        <v>41626.40684931507</v>
      </c>
      <c r="F320" s="3">
        <v>140.75</v>
      </c>
      <c r="G320" s="3">
        <f t="shared" si="62"/>
        <v>7.1047957371225579</v>
      </c>
      <c r="H320" s="3">
        <v>1</v>
      </c>
      <c r="I320" s="3">
        <f>G320*SUM(R241:R294)</f>
        <v>215.58081705150974</v>
      </c>
      <c r="J320" s="3">
        <v>0</v>
      </c>
      <c r="K320" s="3">
        <f>'Data (ignore)'!$B$1188</f>
        <v>178.13</v>
      </c>
      <c r="L320" s="15">
        <v>-1000</v>
      </c>
      <c r="M320" s="10">
        <f t="shared" si="64"/>
        <v>1481.1580817051508</v>
      </c>
      <c r="N320" s="3">
        <f t="shared" ca="1" si="65"/>
        <v>13.627397260273973</v>
      </c>
      <c r="O320" s="12">
        <f t="shared" si="60"/>
        <v>0.48115808170515084</v>
      </c>
      <c r="P320" s="12">
        <f t="shared" ca="1" si="63"/>
        <v>2.9245559362024665E-2</v>
      </c>
    </row>
    <row r="321" spans="4:16" x14ac:dyDescent="0.25">
      <c r="D321" s="2">
        <v>36731</v>
      </c>
      <c r="E321" s="13">
        <f t="shared" ca="1" si="61"/>
        <v>41626.350684931509</v>
      </c>
      <c r="F321" s="3">
        <v>146.84</v>
      </c>
      <c r="G321" s="3">
        <f t="shared" si="62"/>
        <v>6.8101334786161809</v>
      </c>
      <c r="H321" s="3">
        <v>1</v>
      </c>
      <c r="I321" s="3">
        <f>G321*SUM(R242:R294)</f>
        <v>204.26995369109233</v>
      </c>
      <c r="J321" s="3">
        <v>0</v>
      </c>
      <c r="K321" s="3">
        <f>'Data (ignore)'!$B$1188</f>
        <v>178.13</v>
      </c>
      <c r="L321" s="15">
        <v>-1000</v>
      </c>
      <c r="M321" s="10">
        <f t="shared" si="64"/>
        <v>1417.3590302369926</v>
      </c>
      <c r="N321" s="3">
        <f t="shared" ca="1" si="65"/>
        <v>13.402739726027397</v>
      </c>
      <c r="O321" s="12">
        <f t="shared" si="60"/>
        <v>0.41735903023699256</v>
      </c>
      <c r="P321" s="12">
        <f t="shared" ca="1" si="63"/>
        <v>2.6365765007087871E-2</v>
      </c>
    </row>
    <row r="322" spans="4:16" x14ac:dyDescent="0.25">
      <c r="D322" s="2">
        <v>36760</v>
      </c>
      <c r="E322" s="13">
        <f t="shared" ca="1" si="61"/>
        <v>41626.330821917807</v>
      </c>
      <c r="F322" s="3">
        <v>150.25</v>
      </c>
      <c r="G322" s="3">
        <f t="shared" si="62"/>
        <v>6.6555740432612316</v>
      </c>
      <c r="H322" s="3">
        <v>1</v>
      </c>
      <c r="I322" s="3">
        <f>G322*SUM(R242:R294)</f>
        <v>199.63394342762064</v>
      </c>
      <c r="J322" s="3">
        <v>0</v>
      </c>
      <c r="K322" s="3">
        <f>'Data (ignore)'!$B$1188</f>
        <v>178.13</v>
      </c>
      <c r="L322" s="15">
        <v>-1000</v>
      </c>
      <c r="M322" s="10">
        <f t="shared" si="64"/>
        <v>1385.1913477537437</v>
      </c>
      <c r="N322" s="3">
        <f t="shared" ca="1" si="65"/>
        <v>13.323287671232876</v>
      </c>
      <c r="O322" s="12">
        <f>(M322-1000)/1000</f>
        <v>0.3851913477537437</v>
      </c>
      <c r="P322" s="12">
        <f t="shared" ca="1" si="63"/>
        <v>2.4757805677786182E-2</v>
      </c>
    </row>
    <row r="323" spans="4:16" x14ac:dyDescent="0.25">
      <c r="D323" s="2">
        <v>36760</v>
      </c>
      <c r="E323" s="13">
        <f t="shared" ca="1" si="61"/>
        <v>41626.330821917807</v>
      </c>
      <c r="F323" s="3">
        <v>150.25</v>
      </c>
      <c r="G323" s="3">
        <f t="shared" si="62"/>
        <v>6.6555740432612316</v>
      </c>
      <c r="H323" s="3">
        <v>1</v>
      </c>
      <c r="I323" s="3">
        <f>G323*SUM(R242:R294)</f>
        <v>199.63394342762064</v>
      </c>
      <c r="J323" s="3">
        <v>0</v>
      </c>
      <c r="K323" s="3">
        <f>'Data (ignore)'!$B$1188</f>
        <v>178.13</v>
      </c>
      <c r="L323" s="15">
        <v>-1000</v>
      </c>
      <c r="M323" s="10">
        <f t="shared" si="64"/>
        <v>1385.1913477537437</v>
      </c>
      <c r="N323" s="3">
        <f t="shared" ca="1" si="65"/>
        <v>13.323287671232876</v>
      </c>
      <c r="O323" s="12">
        <f>(M323-1000)/1000</f>
        <v>0.3851913477537437</v>
      </c>
      <c r="P323" s="12">
        <f t="shared" ca="1" si="63"/>
        <v>2.4757805677786182E-2</v>
      </c>
    </row>
    <row r="324" spans="4:16" x14ac:dyDescent="0.25">
      <c r="D324" s="2">
        <v>36760</v>
      </c>
      <c r="E324" s="13">
        <f t="shared" si="61"/>
        <v>39004.536301369866</v>
      </c>
      <c r="F324" s="3">
        <v>150.25</v>
      </c>
      <c r="G324" s="3">
        <f t="shared" si="62"/>
        <v>6.6555740432612316</v>
      </c>
      <c r="H324" s="3">
        <v>1</v>
      </c>
      <c r="I324" s="3">
        <f>G324*SUM(R242:R265)</f>
        <v>71.267886855241287</v>
      </c>
      <c r="J324" s="3">
        <v>0</v>
      </c>
      <c r="K324" s="3">
        <v>136.63</v>
      </c>
      <c r="L324" s="15">
        <v>-1000</v>
      </c>
      <c r="M324" s="10">
        <f t="shared" si="64"/>
        <v>980.61896838602331</v>
      </c>
      <c r="N324" s="3">
        <f>(DATE(2006,10,13)-D324)/365</f>
        <v>6.1452054794520548</v>
      </c>
      <c r="O324" s="12">
        <f>(M324-1000)/1000</f>
        <v>-1.9381031613976689E-2</v>
      </c>
      <c r="P324" s="12">
        <f t="shared" si="63"/>
        <v>-3.179742969765198E-3</v>
      </c>
    </row>
    <row r="325" spans="4:16" x14ac:dyDescent="0.25">
      <c r="D325" s="2">
        <v>36760</v>
      </c>
      <c r="E325" s="13">
        <f t="shared" si="61"/>
        <v>38996.530821917811</v>
      </c>
      <c r="F325" s="3">
        <v>150.25</v>
      </c>
      <c r="G325" s="3">
        <f t="shared" si="62"/>
        <v>6.6555740432612316</v>
      </c>
      <c r="H325" s="3">
        <v>1</v>
      </c>
      <c r="I325" s="3">
        <f>G325*SUM(R242:R265)</f>
        <v>71.267886855241287</v>
      </c>
      <c r="J325" s="3">
        <v>0</v>
      </c>
      <c r="K325" s="3">
        <v>134.91999999999999</v>
      </c>
      <c r="L325" s="15">
        <v>-1000</v>
      </c>
      <c r="M325" s="10">
        <f t="shared" si="64"/>
        <v>969.23793677204651</v>
      </c>
      <c r="N325" s="3">
        <f>(DATE(2006,10,5)-D325)/365</f>
        <v>6.1232876712328768</v>
      </c>
      <c r="O325" s="12">
        <f>(M325-1000)/1000</f>
        <v>-3.0762063227953489E-2</v>
      </c>
      <c r="P325" s="12">
        <f t="shared" si="63"/>
        <v>-5.0896787178266178E-3</v>
      </c>
    </row>
    <row r="326" spans="4:16" x14ac:dyDescent="0.25">
      <c r="D326" s="2">
        <v>36760</v>
      </c>
      <c r="E326" s="13">
        <f t="shared" si="61"/>
        <v>37663.618493150687</v>
      </c>
      <c r="F326" s="3">
        <v>150.25</v>
      </c>
      <c r="G326" s="3">
        <f t="shared" si="62"/>
        <v>6.6555740432612316</v>
      </c>
      <c r="H326" s="3">
        <v>1</v>
      </c>
      <c r="I326" s="3">
        <f>G326*SUM(R242:R251)</f>
        <v>24.346089850249587</v>
      </c>
      <c r="J326" s="3">
        <v>0</v>
      </c>
      <c r="K326" s="3">
        <v>83.43</v>
      </c>
      <c r="L326" s="15">
        <v>-1000</v>
      </c>
      <c r="M326" s="10">
        <f t="shared" si="64"/>
        <v>579.62063227953411</v>
      </c>
      <c r="N326" s="3">
        <f>(DATE(2003,2,11)-D326)/365</f>
        <v>2.473972602739726</v>
      </c>
      <c r="O326" s="12">
        <f t="shared" ref="O326:O362" si="66">(M326-1000)/1000</f>
        <v>-0.42037936772046591</v>
      </c>
      <c r="P326" s="12">
        <f t="shared" si="63"/>
        <v>-0.19784037737927918</v>
      </c>
    </row>
    <row r="327" spans="4:16" x14ac:dyDescent="0.25">
      <c r="D327" s="2">
        <v>36760</v>
      </c>
      <c r="E327" s="13">
        <f t="shared" ca="1" si="61"/>
        <v>41626.330821917807</v>
      </c>
      <c r="F327" s="3">
        <v>150.25</v>
      </c>
      <c r="G327" s="3">
        <f t="shared" si="62"/>
        <v>6.6555740432612316</v>
      </c>
      <c r="H327" s="3">
        <v>1</v>
      </c>
      <c r="I327" s="3">
        <f>G327*SUM(R242:R294)</f>
        <v>199.63394342762064</v>
      </c>
      <c r="J327" s="3">
        <v>0</v>
      </c>
      <c r="K327" s="3">
        <f>'Data (ignore)'!$B$1188</f>
        <v>178.13</v>
      </c>
      <c r="L327" s="15">
        <v>-1000</v>
      </c>
      <c r="M327" s="10">
        <f t="shared" si="64"/>
        <v>1385.1913477537437</v>
      </c>
      <c r="N327" s="3">
        <f ca="1">($Z$17-D327)/365</f>
        <v>13.323287671232876</v>
      </c>
      <c r="O327" s="12">
        <f t="shared" si="66"/>
        <v>0.3851913477537437</v>
      </c>
      <c r="P327" s="12">
        <f t="shared" ca="1" si="63"/>
        <v>2.4757805677786182E-2</v>
      </c>
    </row>
    <row r="328" spans="4:16" x14ac:dyDescent="0.25">
      <c r="D328" s="2">
        <v>36798</v>
      </c>
      <c r="E328" s="13">
        <f t="shared" ca="1" si="61"/>
        <v>41626.304794520547</v>
      </c>
      <c r="F328" s="3">
        <v>143.63</v>
      </c>
      <c r="G328" s="3">
        <f t="shared" si="62"/>
        <v>6.9623337742811389</v>
      </c>
      <c r="H328" s="3">
        <v>1</v>
      </c>
      <c r="I328" s="3">
        <f>G328*SUM(R242:R294)</f>
        <v>208.83520155956273</v>
      </c>
      <c r="J328" s="3">
        <v>0</v>
      </c>
      <c r="K328" s="3">
        <f>'Data (ignore)'!$B$1188</f>
        <v>178.13</v>
      </c>
      <c r="L328" s="15">
        <v>-1000</v>
      </c>
      <c r="M328" s="10">
        <f t="shared" si="64"/>
        <v>1449.0357167722618</v>
      </c>
      <c r="N328" s="3">
        <f ca="1">($Z$17-D328)/365</f>
        <v>13.219178082191782</v>
      </c>
      <c r="O328" s="12">
        <f t="shared" si="66"/>
        <v>0.44903571677226184</v>
      </c>
      <c r="P328" s="12">
        <f t="shared" ca="1" si="63"/>
        <v>2.8454914042479462E-2</v>
      </c>
    </row>
    <row r="329" spans="4:16" x14ac:dyDescent="0.25">
      <c r="D329" s="2">
        <v>36811</v>
      </c>
      <c r="E329" s="13">
        <f t="shared" si="61"/>
        <v>37226.284246575342</v>
      </c>
      <c r="F329" s="3">
        <v>133.13</v>
      </c>
      <c r="G329" s="3">
        <f t="shared" si="62"/>
        <v>7.5114549688274623</v>
      </c>
      <c r="H329" s="3">
        <v>1</v>
      </c>
      <c r="I329" s="3">
        <f>G329*SUM(R243:R246)</f>
        <v>10.455945316607826</v>
      </c>
      <c r="J329" s="3">
        <v>0</v>
      </c>
      <c r="K329" s="3">
        <v>113.37</v>
      </c>
      <c r="L329" s="15">
        <v>-1000</v>
      </c>
      <c r="M329" s="10">
        <f t="shared" si="64"/>
        <v>862.02959513257736</v>
      </c>
      <c r="N329" s="3">
        <f>(DATE(2001,12,1)-D329)/365</f>
        <v>1.1369863013698631</v>
      </c>
      <c r="O329" s="12">
        <f t="shared" si="66"/>
        <v>-0.13797040486742265</v>
      </c>
      <c r="P329" s="12">
        <f t="shared" si="63"/>
        <v>-0.12241217658576686</v>
      </c>
    </row>
    <row r="330" spans="4:16" x14ac:dyDescent="0.25">
      <c r="D330" s="2">
        <v>36868</v>
      </c>
      <c r="E330" s="13">
        <f t="shared" ca="1" si="61"/>
        <v>41626.256849315068</v>
      </c>
      <c r="F330" s="3">
        <v>133.97</v>
      </c>
      <c r="G330" s="3">
        <f t="shared" si="62"/>
        <v>7.4643576920206014</v>
      </c>
      <c r="H330" s="3">
        <v>1</v>
      </c>
      <c r="I330" s="3">
        <f>G330*SUM(R243:R294)</f>
        <v>221.0942748376502</v>
      </c>
      <c r="J330" s="3">
        <v>0</v>
      </c>
      <c r="K330" s="3">
        <f>'Data (ignore)'!$B$1188</f>
        <v>178.13</v>
      </c>
      <c r="L330" s="15">
        <v>-1000</v>
      </c>
      <c r="M330" s="10">
        <f>G330*H330*K330+(I330)+(J330)</f>
        <v>1550.7203105172798</v>
      </c>
      <c r="N330" s="3">
        <f ca="1">($Z$17-D330)/365</f>
        <v>13.027397260273972</v>
      </c>
      <c r="O330" s="12">
        <f t="shared" si="66"/>
        <v>0.55072031051727977</v>
      </c>
      <c r="P330" s="12">
        <f t="shared" ca="1" si="63"/>
        <v>3.4250162926287908E-2</v>
      </c>
    </row>
    <row r="331" spans="4:16" x14ac:dyDescent="0.25">
      <c r="D331" s="2">
        <v>36894</v>
      </c>
      <c r="E331" s="13">
        <f t="shared" si="61"/>
        <v>37258.24931506849</v>
      </c>
      <c r="F331" s="3">
        <v>135</v>
      </c>
      <c r="G331" s="3">
        <f t="shared" si="62"/>
        <v>7.4074074074074074</v>
      </c>
      <c r="H331" s="3">
        <v>1</v>
      </c>
      <c r="I331" s="3">
        <f>G331*SUM(R243:R246)</f>
        <v>10.31111111111111</v>
      </c>
      <c r="J331" s="3">
        <v>0</v>
      </c>
      <c r="K331" s="3">
        <v>115.53</v>
      </c>
      <c r="L331" s="15">
        <v>-1000</v>
      </c>
      <c r="M331" s="10">
        <f>G331*H331*K331+(I331)+(J331)</f>
        <v>866.08888888888896</v>
      </c>
      <c r="N331" s="3">
        <f>(DATE(2002,1,2)-D331)/365</f>
        <v>0.99726027397260275</v>
      </c>
      <c r="O331" s="12">
        <f t="shared" si="66"/>
        <v>-0.13391111111111104</v>
      </c>
      <c r="P331" s="12">
        <f t="shared" si="63"/>
        <v>-0.13425311948832908</v>
      </c>
    </row>
    <row r="332" spans="4:16" x14ac:dyDescent="0.25">
      <c r="D332" s="2">
        <v>37046</v>
      </c>
      <c r="E332" s="13">
        <f t="shared" si="61"/>
        <v>37663.422602739724</v>
      </c>
      <c r="F332" s="3">
        <v>127.34</v>
      </c>
      <c r="G332" s="3">
        <f t="shared" si="62"/>
        <v>7.8529919899481699</v>
      </c>
      <c r="H332" s="3">
        <v>1</v>
      </c>
      <c r="I332" s="3">
        <f>G332*SUM(R245:R251)</f>
        <v>20.472750117794877</v>
      </c>
      <c r="J332" s="3">
        <v>0</v>
      </c>
      <c r="K332" s="3">
        <v>83.43</v>
      </c>
      <c r="L332" s="15">
        <v>-1000</v>
      </c>
      <c r="M332" s="10">
        <f>G332*H332*K332+(I332)+(J332)</f>
        <v>675.64787183917076</v>
      </c>
      <c r="N332" s="3">
        <f>(DATE(2003,2,11)-D332)/365</f>
        <v>1.6904109589041096</v>
      </c>
      <c r="O332" s="12">
        <f t="shared" si="66"/>
        <v>-0.32435212816082926</v>
      </c>
      <c r="P332" s="12">
        <f t="shared" si="63"/>
        <v>-0.20701067085043046</v>
      </c>
    </row>
    <row r="333" spans="4:16" x14ac:dyDescent="0.25">
      <c r="D333" s="2">
        <v>37152</v>
      </c>
      <c r="E333" s="13">
        <f t="shared" si="61"/>
        <v>37329.121232876714</v>
      </c>
      <c r="F333" s="3">
        <v>104.05</v>
      </c>
      <c r="G333" s="3">
        <f t="shared" si="62"/>
        <v>9.6107640557424325</v>
      </c>
      <c r="H333" s="3">
        <v>1</v>
      </c>
      <c r="I333" s="3">
        <f>G333*SUM(R246:R247)</f>
        <v>7.333012974531476</v>
      </c>
      <c r="J333" s="3">
        <v>0</v>
      </c>
      <c r="K333" s="3">
        <v>115.88</v>
      </c>
      <c r="L333" s="15">
        <v>-1000</v>
      </c>
      <c r="M333" s="10">
        <f t="shared" ref="M333:M342" si="67">G333*H333*K333+(I333)+(J333)</f>
        <v>1121.0283517539647</v>
      </c>
      <c r="N333" s="3">
        <f>(DATE(2002,3,14)-D333)/365</f>
        <v>0.48493150684931507</v>
      </c>
      <c r="O333" s="12">
        <f t="shared" si="66"/>
        <v>0.12102835175396467</v>
      </c>
      <c r="P333" s="12">
        <f t="shared" si="63"/>
        <v>0.26565899532677428</v>
      </c>
    </row>
    <row r="334" spans="4:16" x14ac:dyDescent="0.25">
      <c r="D334" s="2">
        <v>37152</v>
      </c>
      <c r="E334" s="13">
        <f t="shared" si="61"/>
        <v>37329.121232876714</v>
      </c>
      <c r="F334" s="3">
        <v>104.05</v>
      </c>
      <c r="G334" s="3">
        <f t="shared" si="62"/>
        <v>9.6107640557424325</v>
      </c>
      <c r="H334" s="3">
        <v>1</v>
      </c>
      <c r="I334" s="3">
        <f>G334*SUM(R246:R247)</f>
        <v>7.333012974531476</v>
      </c>
      <c r="J334" s="3">
        <v>0</v>
      </c>
      <c r="K334" s="3">
        <v>115.88</v>
      </c>
      <c r="L334" s="15">
        <v>-1000</v>
      </c>
      <c r="M334" s="10">
        <f t="shared" si="67"/>
        <v>1121.0283517539647</v>
      </c>
      <c r="N334" s="3">
        <f>(DATE(2002,3,14)-D334)/365</f>
        <v>0.48493150684931507</v>
      </c>
      <c r="O334" s="12">
        <f t="shared" si="66"/>
        <v>0.12102835175396467</v>
      </c>
      <c r="P334" s="12">
        <f t="shared" si="63"/>
        <v>0.26565899532677428</v>
      </c>
    </row>
    <row r="335" spans="4:16" x14ac:dyDescent="0.25">
      <c r="D335" s="2">
        <v>37152</v>
      </c>
      <c r="E335" s="13">
        <f t="shared" si="61"/>
        <v>37329.121232876714</v>
      </c>
      <c r="F335" s="3">
        <v>104.05</v>
      </c>
      <c r="G335" s="3">
        <f t="shared" si="62"/>
        <v>9.6107640557424325</v>
      </c>
      <c r="H335" s="3">
        <v>1</v>
      </c>
      <c r="I335" s="3">
        <f>G335*SUM(R246:R247)</f>
        <v>7.333012974531476</v>
      </c>
      <c r="J335" s="3">
        <v>0</v>
      </c>
      <c r="K335" s="3">
        <v>115.88</v>
      </c>
      <c r="L335" s="15">
        <v>-1000</v>
      </c>
      <c r="M335" s="10">
        <f t="shared" si="67"/>
        <v>1121.0283517539647</v>
      </c>
      <c r="N335" s="3">
        <f>(DATE(2002,3,14)-D335)/365</f>
        <v>0.48493150684931507</v>
      </c>
      <c r="O335" s="12">
        <f t="shared" si="66"/>
        <v>0.12102835175396467</v>
      </c>
      <c r="P335" s="12">
        <f t="shared" si="63"/>
        <v>0.26565899532677428</v>
      </c>
    </row>
    <row r="336" spans="4:16" x14ac:dyDescent="0.25">
      <c r="D336" s="2">
        <v>37152</v>
      </c>
      <c r="E336" s="13">
        <f t="shared" ca="1" si="61"/>
        <v>41626.062328767126</v>
      </c>
      <c r="F336" s="3">
        <v>104.05</v>
      </c>
      <c r="G336" s="3">
        <f t="shared" si="62"/>
        <v>9.6107640557424325</v>
      </c>
      <c r="H336" s="3">
        <v>1</v>
      </c>
      <c r="I336" s="3">
        <f>G336*SUM(R246:R294)</f>
        <v>274.84863046612202</v>
      </c>
      <c r="J336" s="3">
        <v>0</v>
      </c>
      <c r="K336" s="3">
        <f>'Data (ignore)'!$B$1188</f>
        <v>178.13</v>
      </c>
      <c r="L336" s="15">
        <v>-1000</v>
      </c>
      <c r="M336" s="10">
        <f t="shared" si="67"/>
        <v>1986.8140317155217</v>
      </c>
      <c r="N336" s="3">
        <f ca="1">($Z$17-D336)/365</f>
        <v>12.24931506849315</v>
      </c>
      <c r="O336" s="12">
        <f t="shared" si="66"/>
        <v>0.98681403171552162</v>
      </c>
      <c r="P336" s="12">
        <f t="shared" ca="1" si="63"/>
        <v>5.7646960715254991E-2</v>
      </c>
    </row>
    <row r="337" spans="4:16" x14ac:dyDescent="0.25">
      <c r="D337" s="2">
        <v>37152</v>
      </c>
      <c r="E337" s="13">
        <f t="shared" ca="1" si="61"/>
        <v>41626.062328767126</v>
      </c>
      <c r="F337" s="3">
        <v>104.05</v>
      </c>
      <c r="G337" s="3">
        <f t="shared" si="62"/>
        <v>9.6107640557424325</v>
      </c>
      <c r="H337" s="3">
        <v>1</v>
      </c>
      <c r="I337" s="3">
        <f>G337*SUM(R246:R294)</f>
        <v>274.84863046612202</v>
      </c>
      <c r="J337" s="3">
        <v>0</v>
      </c>
      <c r="K337" s="3">
        <f>'Data (ignore)'!$B$1188</f>
        <v>178.13</v>
      </c>
      <c r="L337" s="15">
        <v>-1000</v>
      </c>
      <c r="M337" s="10">
        <f t="shared" si="67"/>
        <v>1986.8140317155217</v>
      </c>
      <c r="N337" s="3">
        <f ca="1">($Z$17-D337)/365</f>
        <v>12.24931506849315</v>
      </c>
      <c r="O337" s="12">
        <f t="shared" si="66"/>
        <v>0.98681403171552162</v>
      </c>
      <c r="P337" s="12">
        <f t="shared" ca="1" si="63"/>
        <v>5.7646960715254991E-2</v>
      </c>
    </row>
    <row r="338" spans="4:16" x14ac:dyDescent="0.25">
      <c r="D338" s="2">
        <v>37154</v>
      </c>
      <c r="E338" s="13">
        <f t="shared" si="61"/>
        <v>39004.266438356164</v>
      </c>
      <c r="F338" s="3">
        <v>98.71</v>
      </c>
      <c r="G338" s="3">
        <f t="shared" si="62"/>
        <v>10.130685847431872</v>
      </c>
      <c r="H338" s="3">
        <v>1</v>
      </c>
      <c r="I338" s="3">
        <f>G338*SUM(R246:R265)</f>
        <v>94.326815925438154</v>
      </c>
      <c r="J338" s="3">
        <v>0</v>
      </c>
      <c r="K338" s="3">
        <v>136.63</v>
      </c>
      <c r="L338" s="15">
        <v>-1000</v>
      </c>
      <c r="M338" s="10">
        <f t="shared" si="67"/>
        <v>1478.4824232600549</v>
      </c>
      <c r="N338" s="3">
        <f>(DATE(2006,10,13)-D338)/365</f>
        <v>5.065753424657534</v>
      </c>
      <c r="O338" s="12">
        <f t="shared" si="66"/>
        <v>0.47848242326005491</v>
      </c>
      <c r="P338" s="12">
        <f t="shared" si="63"/>
        <v>8.0245313276928076E-2</v>
      </c>
    </row>
    <row r="339" spans="4:16" x14ac:dyDescent="0.25">
      <c r="D339" s="2">
        <v>37166</v>
      </c>
      <c r="E339" s="13">
        <f t="shared" si="61"/>
        <v>38632.003424657538</v>
      </c>
      <c r="F339" s="3">
        <v>105.58</v>
      </c>
      <c r="G339" s="3">
        <f t="shared" si="62"/>
        <v>9.4714908126539115</v>
      </c>
      <c r="H339" s="3">
        <v>1</v>
      </c>
      <c r="I339" s="3">
        <f>G339*SUM(R247:R261)</f>
        <v>63.203258192839549</v>
      </c>
      <c r="J339" s="3">
        <v>0</v>
      </c>
      <c r="K339" s="3">
        <v>119.2</v>
      </c>
      <c r="L339" s="15">
        <v>-1000</v>
      </c>
      <c r="M339" s="10">
        <f t="shared" si="67"/>
        <v>1192.2049630611857</v>
      </c>
      <c r="N339" s="3">
        <f>(DATE(2005,10,6)-D339)/365</f>
        <v>4.0136986301369859</v>
      </c>
      <c r="O339" s="12">
        <f t="shared" si="66"/>
        <v>0.1922049630611857</v>
      </c>
      <c r="P339" s="12">
        <f t="shared" si="63"/>
        <v>4.477455138775821E-2</v>
      </c>
    </row>
    <row r="340" spans="4:16" x14ac:dyDescent="0.25">
      <c r="D340" s="2">
        <v>37368</v>
      </c>
      <c r="E340" s="13">
        <f t="shared" ca="1" si="61"/>
        <v>41625.914383561641</v>
      </c>
      <c r="F340" s="3">
        <v>111</v>
      </c>
      <c r="G340" s="3">
        <f t="shared" si="62"/>
        <v>9.0090090090090094</v>
      </c>
      <c r="H340" s="3">
        <v>1</v>
      </c>
      <c r="I340" s="3">
        <f>G340*SUM(R249:R294)</f>
        <v>247.78378378378375</v>
      </c>
      <c r="J340" s="3">
        <v>0</v>
      </c>
      <c r="K340" s="3">
        <f>'Data (ignore)'!$B$1188</f>
        <v>178.13</v>
      </c>
      <c r="L340" s="15">
        <v>-1000</v>
      </c>
      <c r="M340" s="10">
        <f t="shared" si="67"/>
        <v>1852.5585585585586</v>
      </c>
      <c r="N340" s="3">
        <f ca="1">($Z$17-D340)/365</f>
        <v>11.657534246575343</v>
      </c>
      <c r="O340" s="12">
        <f t="shared" si="66"/>
        <v>0.85255855855855867</v>
      </c>
      <c r="P340" s="12">
        <f t="shared" ca="1" si="63"/>
        <v>5.4313727721748473E-2</v>
      </c>
    </row>
    <row r="341" spans="4:16" x14ac:dyDescent="0.25">
      <c r="D341" s="2">
        <v>37433</v>
      </c>
      <c r="E341" s="13">
        <f t="shared" si="61"/>
        <v>37561.087671232875</v>
      </c>
      <c r="F341" s="3">
        <v>97.72</v>
      </c>
      <c r="G341" s="3">
        <f t="shared" si="62"/>
        <v>10.233319688907082</v>
      </c>
      <c r="H341" s="3">
        <v>1</v>
      </c>
      <c r="I341" s="3">
        <f>G341*SUM(R249:R250)</f>
        <v>7.4805566925910769</v>
      </c>
      <c r="J341" s="3">
        <v>0</v>
      </c>
      <c r="K341" s="3">
        <v>90.27</v>
      </c>
      <c r="L341" s="15">
        <v>-1000</v>
      </c>
      <c r="M341" s="10">
        <f t="shared" si="67"/>
        <v>931.24232501023334</v>
      </c>
      <c r="N341" s="3">
        <f>(DATE(2002,11,1)-D341)/365</f>
        <v>0.35068493150684932</v>
      </c>
      <c r="O341" s="12">
        <f t="shared" si="66"/>
        <v>-6.8757674989766662E-2</v>
      </c>
      <c r="P341" s="12">
        <f t="shared" si="63"/>
        <v>-0.18383047632130078</v>
      </c>
    </row>
    <row r="342" spans="4:16" x14ac:dyDescent="0.25">
      <c r="D342" s="2">
        <v>37461</v>
      </c>
      <c r="E342" s="13">
        <f t="shared" ca="1" si="61"/>
        <v>41625.850684931509</v>
      </c>
      <c r="F342" s="3">
        <v>84.72</v>
      </c>
      <c r="G342" s="3">
        <f t="shared" si="62"/>
        <v>11.803588290840416</v>
      </c>
      <c r="H342" s="3">
        <v>1</v>
      </c>
      <c r="I342" s="3">
        <f>G342*SUM(R250:R294)</f>
        <v>320.47922568460808</v>
      </c>
      <c r="J342" s="3">
        <v>0</v>
      </c>
      <c r="K342" s="3">
        <f>'Data (ignore)'!$B$1188</f>
        <v>178.13</v>
      </c>
      <c r="L342" s="15">
        <v>-1000</v>
      </c>
      <c r="M342" s="10">
        <f t="shared" si="67"/>
        <v>2423.0524079320112</v>
      </c>
      <c r="N342" s="3">
        <f ca="1">($Z$17-D342)/365</f>
        <v>11.402739726027397</v>
      </c>
      <c r="O342" s="12">
        <f t="shared" si="66"/>
        <v>1.4230524079320113</v>
      </c>
      <c r="P342" s="12">
        <f t="shared" ca="1" si="63"/>
        <v>8.0706926146072666E-2</v>
      </c>
    </row>
    <row r="343" spans="4:16" x14ac:dyDescent="0.25">
      <c r="D343" s="2">
        <v>37461</v>
      </c>
      <c r="E343" s="13">
        <f t="shared" ca="1" si="61"/>
        <v>41625.850684931509</v>
      </c>
      <c r="F343" s="3">
        <v>84.72</v>
      </c>
      <c r="G343" s="3">
        <f t="shared" si="62"/>
        <v>11.803588290840416</v>
      </c>
      <c r="H343" s="3">
        <v>1</v>
      </c>
      <c r="I343" s="3">
        <f>G343*SUM(R250:R294)</f>
        <v>320.47922568460808</v>
      </c>
      <c r="J343" s="3">
        <v>0</v>
      </c>
      <c r="K343" s="3">
        <f>'Data (ignore)'!$B$1188</f>
        <v>178.13</v>
      </c>
      <c r="L343" s="15">
        <v>-1000</v>
      </c>
      <c r="M343" s="10">
        <f>K343*H343*G343+I343</f>
        <v>2423.0524079320112</v>
      </c>
      <c r="N343" s="3">
        <f ca="1">($Z$17-D343)/365</f>
        <v>11.402739726027397</v>
      </c>
      <c r="O343" s="12">
        <f t="shared" si="66"/>
        <v>1.4230524079320113</v>
      </c>
      <c r="P343" s="12">
        <f t="shared" ca="1" si="63"/>
        <v>8.0706926146072666E-2</v>
      </c>
    </row>
    <row r="344" spans="4:16" x14ac:dyDescent="0.25">
      <c r="D344" s="2">
        <v>37461</v>
      </c>
      <c r="E344" s="13">
        <f t="shared" ca="1" si="61"/>
        <v>41625.850684931509</v>
      </c>
      <c r="F344" s="3">
        <v>84.72</v>
      </c>
      <c r="G344" s="3">
        <f t="shared" si="62"/>
        <v>11.803588290840416</v>
      </c>
      <c r="H344" s="3">
        <v>1</v>
      </c>
      <c r="I344" s="3">
        <f>G344*SUM(R250:R294)</f>
        <v>320.47922568460808</v>
      </c>
      <c r="J344" s="3">
        <v>0</v>
      </c>
      <c r="K344" s="3">
        <f>'Data (ignore)'!$B$1188</f>
        <v>178.13</v>
      </c>
      <c r="L344" s="15">
        <v>-1000</v>
      </c>
      <c r="M344" s="10">
        <f>G344*H344*K344+(I344)+(J344)</f>
        <v>2423.0524079320112</v>
      </c>
      <c r="N344" s="3">
        <f ca="1">($Z$17-D344)/365</f>
        <v>11.402739726027397</v>
      </c>
      <c r="O344" s="12">
        <f t="shared" si="66"/>
        <v>1.4230524079320113</v>
      </c>
      <c r="P344" s="12">
        <f t="shared" ca="1" si="63"/>
        <v>8.0706926146072666E-2</v>
      </c>
    </row>
    <row r="345" spans="4:16" x14ac:dyDescent="0.25">
      <c r="D345" s="2">
        <v>37461</v>
      </c>
      <c r="E345" s="13">
        <f t="shared" ca="1" si="61"/>
        <v>41625.850684931509</v>
      </c>
      <c r="F345" s="3">
        <v>84.72</v>
      </c>
      <c r="G345" s="3">
        <f t="shared" si="62"/>
        <v>11.803588290840416</v>
      </c>
      <c r="H345" s="3">
        <v>1</v>
      </c>
      <c r="I345" s="3">
        <f>G345*SUM(R250:R294)</f>
        <v>320.47922568460808</v>
      </c>
      <c r="J345" s="3">
        <v>0</v>
      </c>
      <c r="K345" s="3">
        <f>'Data (ignore)'!$B$1188</f>
        <v>178.13</v>
      </c>
      <c r="L345" s="15">
        <v>-1000</v>
      </c>
      <c r="M345" s="10">
        <f>G345*H345*K345+(I345)+(J345)</f>
        <v>2423.0524079320112</v>
      </c>
      <c r="N345" s="3">
        <f ca="1">($Z$17-D345)/365</f>
        <v>11.402739726027397</v>
      </c>
      <c r="O345" s="12">
        <f t="shared" si="66"/>
        <v>1.4230524079320113</v>
      </c>
      <c r="P345" s="12">
        <f t="shared" ca="1" si="63"/>
        <v>8.0706926146072666E-2</v>
      </c>
    </row>
    <row r="346" spans="4:16" x14ac:dyDescent="0.25">
      <c r="D346" s="2">
        <v>37461</v>
      </c>
      <c r="E346" s="13">
        <f t="shared" si="61"/>
        <v>39009.059589041099</v>
      </c>
      <c r="F346" s="3">
        <v>84.72</v>
      </c>
      <c r="G346" s="3">
        <f t="shared" si="62"/>
        <v>11.803588290840416</v>
      </c>
      <c r="H346" s="3">
        <v>1</v>
      </c>
      <c r="I346" s="3">
        <f>G346*SUM(R250:R266)</f>
        <v>99.657695939565627</v>
      </c>
      <c r="J346" s="3">
        <v>0</v>
      </c>
      <c r="K346" s="3">
        <v>136.59</v>
      </c>
      <c r="L346" s="15">
        <v>-1000</v>
      </c>
      <c r="M346" s="10">
        <f>G346*H346*K346+(I346)+(J346)</f>
        <v>1711.9098205854582</v>
      </c>
      <c r="N346" s="3">
        <f>(DATE(2006,10,18)-D346)/365</f>
        <v>4.2383561643835614</v>
      </c>
      <c r="O346" s="12">
        <f t="shared" si="66"/>
        <v>0.71190982058545815</v>
      </c>
      <c r="P346" s="12">
        <f t="shared" si="63"/>
        <v>0.13523978657895452</v>
      </c>
    </row>
    <row r="347" spans="4:16" x14ac:dyDescent="0.25">
      <c r="D347" s="2">
        <v>37461</v>
      </c>
      <c r="E347" s="13">
        <f t="shared" ca="1" si="61"/>
        <v>41625.850684931509</v>
      </c>
      <c r="F347" s="3">
        <v>84.72</v>
      </c>
      <c r="G347" s="3">
        <f t="shared" si="62"/>
        <v>11.803588290840416</v>
      </c>
      <c r="H347" s="3">
        <v>1</v>
      </c>
      <c r="I347" s="3">
        <f>G347*SUM(R250:R294)</f>
        <v>320.47922568460808</v>
      </c>
      <c r="J347" s="3">
        <v>0</v>
      </c>
      <c r="K347" s="3">
        <f>'Data (ignore)'!$B$1188</f>
        <v>178.13</v>
      </c>
      <c r="L347" s="15">
        <v>-1000</v>
      </c>
      <c r="M347" s="10">
        <f t="shared" ref="M347:M357" si="68">G347*H347*K347+(I347)+(J347)</f>
        <v>2423.0524079320112</v>
      </c>
      <c r="N347" s="3">
        <f ca="1">($Z$17-D347)/365</f>
        <v>11.402739726027397</v>
      </c>
      <c r="O347" s="12">
        <f t="shared" si="66"/>
        <v>1.4230524079320113</v>
      </c>
      <c r="P347" s="12">
        <f t="shared" ca="1" si="63"/>
        <v>8.0706926146072666E-2</v>
      </c>
    </row>
    <row r="348" spans="4:16" x14ac:dyDescent="0.25">
      <c r="D348" s="2">
        <v>37525</v>
      </c>
      <c r="E348" s="13">
        <f t="shared" ca="1" si="61"/>
        <v>41625.806849315071</v>
      </c>
      <c r="F348" s="3">
        <v>85.73</v>
      </c>
      <c r="G348" s="3">
        <f t="shared" si="62"/>
        <v>11.664528169835529</v>
      </c>
      <c r="H348" s="3">
        <v>1</v>
      </c>
      <c r="I348" s="3">
        <f>G348*SUM(R250:R294)</f>
        <v>316.70360433920439</v>
      </c>
      <c r="J348" s="3">
        <v>0</v>
      </c>
      <c r="K348" s="3">
        <f>'Data (ignore)'!$B$1188</f>
        <v>178.13</v>
      </c>
      <c r="L348" s="15">
        <v>-1000</v>
      </c>
      <c r="M348" s="10">
        <f t="shared" si="68"/>
        <v>2394.5060072320075</v>
      </c>
      <c r="N348" s="3">
        <f ca="1">($Z$17-D348)/365</f>
        <v>11.227397260273973</v>
      </c>
      <c r="O348" s="12">
        <f t="shared" si="66"/>
        <v>1.3945060072320075</v>
      </c>
      <c r="P348" s="12">
        <f t="shared" ca="1" si="63"/>
        <v>8.0876172494775966E-2</v>
      </c>
    </row>
    <row r="349" spans="4:16" x14ac:dyDescent="0.25">
      <c r="D349" s="2">
        <v>37525</v>
      </c>
      <c r="E349" s="13">
        <f t="shared" ca="1" si="61"/>
        <v>41625.806849315071</v>
      </c>
      <c r="F349" s="3">
        <v>85.73</v>
      </c>
      <c r="G349" s="3">
        <f t="shared" si="62"/>
        <v>11.664528169835529</v>
      </c>
      <c r="H349" s="3">
        <v>1</v>
      </c>
      <c r="I349" s="3">
        <f>G349*SUM(R250:R294)</f>
        <v>316.70360433920439</v>
      </c>
      <c r="J349" s="3">
        <v>0</v>
      </c>
      <c r="K349" s="3">
        <f>'Data (ignore)'!$B$1188</f>
        <v>178.13</v>
      </c>
      <c r="L349" s="15">
        <v>-1000</v>
      </c>
      <c r="M349" s="10">
        <f t="shared" si="68"/>
        <v>2394.5060072320075</v>
      </c>
      <c r="N349" s="3">
        <f ca="1">($Z$17-D349)/365</f>
        <v>11.227397260273973</v>
      </c>
      <c r="O349" s="12">
        <f t="shared" si="66"/>
        <v>1.3945060072320075</v>
      </c>
      <c r="P349" s="12">
        <f t="shared" ca="1" si="63"/>
        <v>8.0876172494775966E-2</v>
      </c>
    </row>
    <row r="350" spans="4:16" x14ac:dyDescent="0.25">
      <c r="D350" s="2">
        <v>37525</v>
      </c>
      <c r="E350" s="13">
        <f t="shared" si="61"/>
        <v>41125.464383561644</v>
      </c>
      <c r="F350" s="3">
        <v>85.73</v>
      </c>
      <c r="G350" s="3">
        <f t="shared" si="62"/>
        <v>11.664528169835529</v>
      </c>
      <c r="H350" s="3">
        <v>1</v>
      </c>
      <c r="I350" s="3">
        <f>G350*SUM(R250:R289)</f>
        <v>268.03919281465062</v>
      </c>
      <c r="J350" s="3">
        <v>0</v>
      </c>
      <c r="K350" s="3">
        <v>136.63999999999999</v>
      </c>
      <c r="L350" s="15">
        <v>-1000</v>
      </c>
      <c r="M350" s="10">
        <f t="shared" si="68"/>
        <v>1861.8803219409774</v>
      </c>
      <c r="N350" s="3">
        <f>(DATE(2012,8,2)-D350)/365</f>
        <v>9.8575342465753426</v>
      </c>
      <c r="O350" s="12">
        <f t="shared" si="66"/>
        <v>0.86188032194097741</v>
      </c>
      <c r="P350" s="12">
        <f t="shared" si="63"/>
        <v>6.5087587023094695E-2</v>
      </c>
    </row>
    <row r="351" spans="4:16" x14ac:dyDescent="0.25">
      <c r="D351" s="2">
        <v>37585</v>
      </c>
      <c r="E351" s="13">
        <f t="shared" ca="1" si="61"/>
        <v>41625.765753424654</v>
      </c>
      <c r="F351" s="3">
        <v>93.48</v>
      </c>
      <c r="G351" s="3">
        <f t="shared" si="62"/>
        <v>10.69747539580659</v>
      </c>
      <c r="H351" s="3">
        <v>1</v>
      </c>
      <c r="I351" s="3">
        <f>G351*SUM(R251:R294)</f>
        <v>286.40350877192981</v>
      </c>
      <c r="J351" s="3">
        <v>0</v>
      </c>
      <c r="K351" s="3">
        <f>'Data (ignore)'!$B$1188</f>
        <v>178.13</v>
      </c>
      <c r="L351" s="15">
        <v>-1000</v>
      </c>
      <c r="M351" s="10">
        <f t="shared" si="68"/>
        <v>2191.9448010269575</v>
      </c>
      <c r="N351" s="3">
        <f ca="1">($Z$17-D351)/365</f>
        <v>11.063013698630137</v>
      </c>
      <c r="O351" s="12">
        <f t="shared" si="66"/>
        <v>1.1919448010269575</v>
      </c>
      <c r="P351" s="12">
        <f t="shared" ca="1" si="63"/>
        <v>7.3514774673704153E-2</v>
      </c>
    </row>
    <row r="352" spans="4:16" x14ac:dyDescent="0.25">
      <c r="D352" s="2">
        <v>37585</v>
      </c>
      <c r="E352" s="13">
        <f t="shared" ca="1" si="61"/>
        <v>41625.765753424654</v>
      </c>
      <c r="F352" s="3">
        <v>93.48</v>
      </c>
      <c r="G352" s="3">
        <f t="shared" si="62"/>
        <v>10.69747539580659</v>
      </c>
      <c r="H352" s="3">
        <v>1</v>
      </c>
      <c r="I352" s="3">
        <f>G352*SUM(R251:R294)</f>
        <v>286.40350877192981</v>
      </c>
      <c r="J352" s="3">
        <v>0</v>
      </c>
      <c r="K352" s="3">
        <f>'Data (ignore)'!$B$1188</f>
        <v>178.13</v>
      </c>
      <c r="L352" s="15">
        <v>-1000</v>
      </c>
      <c r="M352" s="10">
        <f t="shared" si="68"/>
        <v>2191.9448010269575</v>
      </c>
      <c r="N352" s="3">
        <f ca="1">($Z$17-D352)/365</f>
        <v>11.063013698630137</v>
      </c>
      <c r="O352" s="12">
        <f t="shared" si="66"/>
        <v>1.1919448010269575</v>
      </c>
      <c r="P352" s="12">
        <f t="shared" ca="1" si="63"/>
        <v>7.3514774673704153E-2</v>
      </c>
    </row>
    <row r="353" spans="4:16" x14ac:dyDescent="0.25">
      <c r="D353" s="2">
        <v>37592</v>
      </c>
      <c r="E353" s="13">
        <f t="shared" si="61"/>
        <v>38033.30205479452</v>
      </c>
      <c r="F353" s="3">
        <v>94.13</v>
      </c>
      <c r="G353" s="3">
        <f t="shared" si="62"/>
        <v>10.623605651758208</v>
      </c>
      <c r="H353" s="3">
        <v>1</v>
      </c>
      <c r="I353" s="3">
        <f>G353*SUM(R251:R255)</f>
        <v>21.948369276532457</v>
      </c>
      <c r="J353" s="3">
        <v>0</v>
      </c>
      <c r="K353" s="3">
        <v>116.17</v>
      </c>
      <c r="L353" s="15">
        <v>-1000</v>
      </c>
      <c r="M353" s="10">
        <f t="shared" si="68"/>
        <v>1256.0926378412835</v>
      </c>
      <c r="N353" s="3">
        <f>(DATE(2004,2,16)-D353)/365</f>
        <v>1.2082191780821918</v>
      </c>
      <c r="O353" s="12">
        <f t="shared" si="66"/>
        <v>0.2560926378412835</v>
      </c>
      <c r="P353" s="12">
        <f t="shared" si="63"/>
        <v>0.20769345066015865</v>
      </c>
    </row>
    <row r="354" spans="4:16" x14ac:dyDescent="0.25">
      <c r="D354" s="2">
        <v>37655</v>
      </c>
      <c r="E354" s="13">
        <f t="shared" ca="1" si="61"/>
        <v>41625.717808219175</v>
      </c>
      <c r="F354" s="3">
        <v>86.23</v>
      </c>
      <c r="G354" s="3">
        <f t="shared" si="62"/>
        <v>11.596892032935173</v>
      </c>
      <c r="H354" s="3">
        <v>1</v>
      </c>
      <c r="I354" s="3">
        <f>G354*SUM(R252:R294)</f>
        <v>305.42734547141362</v>
      </c>
      <c r="J354" s="3">
        <v>0</v>
      </c>
      <c r="K354" s="3">
        <f>'Data (ignore)'!$B$1188</f>
        <v>178.13</v>
      </c>
      <c r="L354" s="15">
        <v>-1000</v>
      </c>
      <c r="M354" s="10">
        <f t="shared" si="68"/>
        <v>2371.1817232981557</v>
      </c>
      <c r="N354" s="3">
        <f ca="1">($Z$17-D354)/365</f>
        <v>10.871232876712329</v>
      </c>
      <c r="O354" s="12">
        <f t="shared" si="66"/>
        <v>1.3711817232981558</v>
      </c>
      <c r="P354" s="12">
        <f t="shared" ca="1" si="63"/>
        <v>8.2658458671604373E-2</v>
      </c>
    </row>
    <row r="355" spans="4:16" x14ac:dyDescent="0.25">
      <c r="D355" s="2">
        <v>37742</v>
      </c>
      <c r="E355" s="13">
        <f t="shared" ca="1" si="61"/>
        <v>41625.658219178084</v>
      </c>
      <c r="F355" s="3">
        <v>91.9</v>
      </c>
      <c r="G355" s="3">
        <f t="shared" si="62"/>
        <v>10.881392818280739</v>
      </c>
      <c r="H355" s="3">
        <v>1</v>
      </c>
      <c r="I355" s="3">
        <f>G355*SUM(R253:R294)</f>
        <v>282.73122959738839</v>
      </c>
      <c r="J355" s="3">
        <v>0</v>
      </c>
      <c r="K355" s="3">
        <f>'Data (ignore)'!$B$1188</f>
        <v>178.13</v>
      </c>
      <c r="L355" s="15">
        <v>-1000</v>
      </c>
      <c r="M355" s="10">
        <f t="shared" si="68"/>
        <v>2221.0337323177364</v>
      </c>
      <c r="N355" s="3">
        <f ca="1">($Z$17-D355)/365</f>
        <v>10.632876712328768</v>
      </c>
      <c r="O355" s="12">
        <f t="shared" si="66"/>
        <v>1.2210337323177365</v>
      </c>
      <c r="P355" s="12">
        <f t="shared" ca="1" si="63"/>
        <v>7.7935546001991263E-2</v>
      </c>
    </row>
    <row r="356" spans="4:16" x14ac:dyDescent="0.25">
      <c r="D356" s="2">
        <v>37847</v>
      </c>
      <c r="E356" s="13">
        <f t="shared" ca="1" si="61"/>
        <v>41625.586301369862</v>
      </c>
      <c r="F356" s="3">
        <v>99.31</v>
      </c>
      <c r="G356" s="3">
        <f t="shared" si="62"/>
        <v>10.06947940791461</v>
      </c>
      <c r="H356" s="3">
        <v>1</v>
      </c>
      <c r="I356" s="3">
        <f>G356*SUM(R254:R294)</f>
        <v>258.01027086899597</v>
      </c>
      <c r="J356" s="3">
        <v>0</v>
      </c>
      <c r="K356" s="3">
        <f>'Data (ignore)'!$B$1188</f>
        <v>178.13</v>
      </c>
      <c r="L356" s="15">
        <v>-1000</v>
      </c>
      <c r="M356" s="10">
        <f t="shared" si="68"/>
        <v>2051.6866378008253</v>
      </c>
      <c r="N356" s="3">
        <f ca="1">($Z$17-D356)/365</f>
        <v>10.345205479452055</v>
      </c>
      <c r="O356" s="12">
        <f t="shared" si="66"/>
        <v>1.0516866378008254</v>
      </c>
      <c r="P356" s="12">
        <f t="shared" ca="1" si="63"/>
        <v>7.1937911044980485E-2</v>
      </c>
    </row>
    <row r="357" spans="4:16" x14ac:dyDescent="0.25">
      <c r="D357" s="2">
        <v>37950</v>
      </c>
      <c r="E357" s="13">
        <f t="shared" si="61"/>
        <v>39411</v>
      </c>
      <c r="F357" s="3">
        <v>105.99</v>
      </c>
      <c r="G357" s="3">
        <f t="shared" si="62"/>
        <v>9.4348523445608077</v>
      </c>
      <c r="H357" s="3">
        <v>1</v>
      </c>
      <c r="I357" s="3">
        <f>G357*SUM(R255:R270)</f>
        <v>87.121426549674496</v>
      </c>
      <c r="J357" s="3">
        <v>0</v>
      </c>
      <c r="K357" s="3">
        <v>140.94999999999999</v>
      </c>
      <c r="L357" s="15">
        <v>-1000</v>
      </c>
      <c r="M357" s="10">
        <f t="shared" si="68"/>
        <v>1416.9638645155201</v>
      </c>
      <c r="N357" s="3">
        <v>4</v>
      </c>
      <c r="O357" s="12">
        <f t="shared" si="66"/>
        <v>0.41696386451552009</v>
      </c>
      <c r="P357" s="12">
        <f t="shared" si="63"/>
        <v>9.1037539659043043E-2</v>
      </c>
    </row>
    <row r="358" spans="4:16" x14ac:dyDescent="0.25">
      <c r="D358" s="2">
        <v>37978</v>
      </c>
      <c r="E358" s="13">
        <f t="shared" ca="1" si="61"/>
        <v>39193.832191780821</v>
      </c>
      <c r="F358" s="3">
        <v>109.73</v>
      </c>
      <c r="G358" s="3">
        <f t="shared" si="62"/>
        <v>9.1132780461131873</v>
      </c>
      <c r="H358" s="3">
        <v>1</v>
      </c>
      <c r="I358" s="3">
        <f>G358/3*SUM(R255:R266)+G358*2/3*SUM(R255:R292)</f>
        <v>162.84516540599651</v>
      </c>
      <c r="J358" s="3">
        <v>0</v>
      </c>
      <c r="K358" s="3">
        <f>'Data (ignore)'!$B$1188</f>
        <v>178.13</v>
      </c>
      <c r="L358" s="15">
        <v>-1000</v>
      </c>
      <c r="M358" s="10">
        <f>(G358/3*141.58)+(G358*2/3*K358)+I358</f>
        <v>1675.163279564993</v>
      </c>
      <c r="N358" s="3">
        <f ca="1">($Z$17-D358)/365/3</f>
        <v>3.3287671232876712</v>
      </c>
      <c r="O358" s="12">
        <f t="shared" si="66"/>
        <v>0.675163279564993</v>
      </c>
      <c r="P358" s="12">
        <f t="shared" ca="1" si="63"/>
        <v>0.16764103154743326</v>
      </c>
    </row>
    <row r="359" spans="4:16" x14ac:dyDescent="0.25">
      <c r="D359" s="2">
        <v>37978</v>
      </c>
      <c r="E359" s="13">
        <f t="shared" ca="1" si="61"/>
        <v>40370.137328767123</v>
      </c>
      <c r="F359" s="3">
        <v>109.73</v>
      </c>
      <c r="G359" s="3">
        <f t="shared" si="62"/>
        <v>9.1132780461131873</v>
      </c>
      <c r="H359" s="3">
        <v>1</v>
      </c>
      <c r="I359" s="3">
        <f>G359/2*SUM(R255:R267)+G359/2*SUM(R255:R292)</f>
        <v>140.59054041738813</v>
      </c>
      <c r="J359" s="3">
        <v>0</v>
      </c>
      <c r="K359" s="3">
        <f>'Data (ignore)'!$B$1188</f>
        <v>178.13</v>
      </c>
      <c r="L359" s="15">
        <v>-1000</v>
      </c>
      <c r="M359" s="10">
        <f>G359/2*144.81+G359/2*156.75+I359</f>
        <v>1514.6906042103346</v>
      </c>
      <c r="N359" s="3">
        <f ca="1">((DATE(2007,2,1)+$Z$17)/2-D359)/365</f>
        <v>6.5493150684931507</v>
      </c>
      <c r="O359" s="12">
        <f t="shared" si="66"/>
        <v>0.51469060421033463</v>
      </c>
      <c r="P359" s="12">
        <f t="shared" ca="1" si="63"/>
        <v>6.5450433322828516E-2</v>
      </c>
    </row>
    <row r="360" spans="4:16" x14ac:dyDescent="0.25">
      <c r="D360" s="2">
        <v>37978</v>
      </c>
      <c r="E360" s="13">
        <f t="shared" si="61"/>
        <v>38631.44726027397</v>
      </c>
      <c r="F360" s="3">
        <v>109.73</v>
      </c>
      <c r="G360" s="3">
        <f t="shared" si="62"/>
        <v>9.1132780461131873</v>
      </c>
      <c r="H360" s="3">
        <v>1</v>
      </c>
      <c r="I360" s="3">
        <f>G360*SUM(R255:R261)</f>
        <v>33.427503873143174</v>
      </c>
      <c r="J360" s="3">
        <v>0</v>
      </c>
      <c r="K360" s="3">
        <v>119.2</v>
      </c>
      <c r="L360" s="15">
        <v>-1000</v>
      </c>
      <c r="M360" s="10">
        <f>G360*H360*K360+(I360)+(J360)</f>
        <v>1119.7302469698352</v>
      </c>
      <c r="N360" s="3">
        <f>(DATE(2005,10,6)-D360)/365</f>
        <v>1.789041095890411</v>
      </c>
      <c r="O360" s="12">
        <f t="shared" si="66"/>
        <v>0.11973024696983521</v>
      </c>
      <c r="P360" s="12">
        <f t="shared" si="63"/>
        <v>6.5252017474711543E-2</v>
      </c>
    </row>
    <row r="361" spans="4:16" x14ac:dyDescent="0.25">
      <c r="D361" s="2">
        <v>38033</v>
      </c>
      <c r="E361" s="13">
        <f t="shared" ca="1" si="61"/>
        <v>40075.397945205477</v>
      </c>
      <c r="F361" s="3">
        <v>116.17</v>
      </c>
      <c r="G361" s="3">
        <f t="shared" si="62"/>
        <v>8.6080743737625891</v>
      </c>
      <c r="H361" s="3">
        <v>1</v>
      </c>
      <c r="I361" s="3">
        <f>G361/2*SUM(R256:R260)+G361/2*SUM(R256:R292)</f>
        <v>110.58793147972797</v>
      </c>
      <c r="J361" s="3">
        <v>0</v>
      </c>
      <c r="K361" s="3">
        <v>10.050000000000001</v>
      </c>
      <c r="L361" s="15">
        <v>-1000</v>
      </c>
      <c r="M361" s="10">
        <f>G361/2*121.57+G361/2*156.75+I361</f>
        <v>1308.4875613325298</v>
      </c>
      <c r="N361" s="3">
        <f ca="1">((DATE(2005,6,22)+$Z$17)/2-D361)/365</f>
        <v>5.5917808219178085</v>
      </c>
      <c r="O361" s="12">
        <f t="shared" si="66"/>
        <v>0.3084875613325298</v>
      </c>
      <c r="P361" s="12">
        <f t="shared" ca="1" si="63"/>
        <v>4.9258179118123913E-2</v>
      </c>
    </row>
    <row r="362" spans="4:16" x14ac:dyDescent="0.25">
      <c r="D362" s="2">
        <v>38033</v>
      </c>
      <c r="E362" s="13">
        <f t="shared" si="61"/>
        <v>38755.494520547945</v>
      </c>
      <c r="F362" s="3">
        <v>116.17</v>
      </c>
      <c r="G362" s="3">
        <f t="shared" si="62"/>
        <v>8.6080743737625891</v>
      </c>
      <c r="H362" s="3">
        <v>1</v>
      </c>
      <c r="I362" s="3">
        <f>G362*SUM(R256:R263)</f>
        <v>37.410691228372215</v>
      </c>
      <c r="J362" s="3">
        <v>0</v>
      </c>
      <c r="K362" s="3">
        <v>125.48</v>
      </c>
      <c r="L362" s="15">
        <v>-1000</v>
      </c>
      <c r="M362" s="10">
        <f>G362*3/4*H362*K362+(I362)+(J362)</f>
        <v>847.51657054316945</v>
      </c>
      <c r="N362" s="3">
        <f>(DATE(2006,2,7)-D362)/365</f>
        <v>1.978082191780822</v>
      </c>
      <c r="O362" s="12">
        <f t="shared" si="66"/>
        <v>-0.15248342945683055</v>
      </c>
      <c r="P362" s="12">
        <f t="shared" si="63"/>
        <v>-8.0236802417895547E-2</v>
      </c>
    </row>
    <row r="363" spans="4:16" x14ac:dyDescent="0.25">
      <c r="D363" s="2">
        <v>38152</v>
      </c>
      <c r="E363" s="13">
        <f t="shared" ca="1" si="61"/>
        <v>41625.377397260272</v>
      </c>
      <c r="F363" s="3">
        <v>113.22</v>
      </c>
      <c r="G363" s="3">
        <f t="shared" si="62"/>
        <v>8.8323617735382438</v>
      </c>
      <c r="H363" s="3">
        <v>1</v>
      </c>
      <c r="I363" s="3">
        <f>G363*SUM(R257:R294)</f>
        <v>214.73237943826177</v>
      </c>
      <c r="J363" s="3">
        <v>0</v>
      </c>
      <c r="K363" s="3">
        <f>'Data (ignore)'!$B$1188</f>
        <v>178.13</v>
      </c>
      <c r="L363" s="15">
        <v>-1000</v>
      </c>
      <c r="M363" s="10">
        <f>G363*H363*K363+(I363)+(J363)</f>
        <v>1788.040982158629</v>
      </c>
      <c r="N363" s="3">
        <f ca="1">($Z$17-D363)/365</f>
        <v>9.5095890410958912</v>
      </c>
      <c r="O363" s="12">
        <f t="shared" ref="O363:O370" si="69">(M363-1000)/1000</f>
        <v>0.78804098215862906</v>
      </c>
      <c r="P363" s="12">
        <f t="shared" ref="P363:P370" ca="1" si="70">(M363/1000)^(1/N363)-1</f>
        <v>6.3014678163713755E-2</v>
      </c>
    </row>
    <row r="364" spans="4:16" x14ac:dyDescent="0.25">
      <c r="D364" s="2">
        <v>38215</v>
      </c>
      <c r="E364" s="13">
        <f t="shared" ca="1" si="61"/>
        <v>41625.334246575345</v>
      </c>
      <c r="F364" s="3">
        <v>108.3</v>
      </c>
      <c r="G364" s="3">
        <f t="shared" si="62"/>
        <v>9.2336103416435833</v>
      </c>
      <c r="H364" s="3">
        <v>1</v>
      </c>
      <c r="I364" s="3">
        <f>G364*SUM(R258:R294)</f>
        <v>220.66481994459835</v>
      </c>
      <c r="J364" s="3">
        <v>0</v>
      </c>
      <c r="K364" s="3">
        <f>'Data (ignore)'!$B$1188</f>
        <v>178.13</v>
      </c>
      <c r="L364" s="15">
        <v>-1000</v>
      </c>
      <c r="M364" s="10">
        <f>G364*H364*K364+(I364)+(J364)</f>
        <v>1865.4478301015697</v>
      </c>
      <c r="N364" s="3">
        <f ca="1">($Z$17-D364)/365</f>
        <v>9.3369863013698637</v>
      </c>
      <c r="O364" s="12">
        <f t="shared" si="69"/>
        <v>0.86544783010156967</v>
      </c>
      <c r="P364" s="12">
        <f t="shared" ca="1" si="70"/>
        <v>6.9057648787738346E-2</v>
      </c>
    </row>
    <row r="365" spans="4:16" x14ac:dyDescent="0.25">
      <c r="D365" s="2">
        <v>38222</v>
      </c>
      <c r="E365" s="13">
        <f t="shared" si="61"/>
        <v>38275.036301369866</v>
      </c>
      <c r="F365" s="3">
        <v>110.2</v>
      </c>
      <c r="G365" s="3">
        <f t="shared" si="62"/>
        <v>9.0744101633393832</v>
      </c>
      <c r="H365" s="3">
        <v>1</v>
      </c>
      <c r="I365" s="3">
        <f>G365*R258</f>
        <v>4.2558983666061705</v>
      </c>
      <c r="J365" s="3">
        <v>0</v>
      </c>
      <c r="K365" s="3">
        <v>111.26</v>
      </c>
      <c r="L365" s="15">
        <v>-1000</v>
      </c>
      <c r="M365" s="10">
        <f>G365*H365*K365+(I365)+(J365)</f>
        <v>1013.874773139746</v>
      </c>
      <c r="N365" s="3">
        <f>(DATE(2004,10,15)-D365)/365</f>
        <v>0.14520547945205478</v>
      </c>
      <c r="O365" s="12">
        <f t="shared" si="69"/>
        <v>1.3874773139746025E-2</v>
      </c>
      <c r="P365" s="12">
        <f t="shared" si="70"/>
        <v>9.9544348699215579E-2</v>
      </c>
    </row>
    <row r="366" spans="4:16" x14ac:dyDescent="0.25">
      <c r="D366" s="2">
        <v>38267</v>
      </c>
      <c r="E366" s="13">
        <f t="shared" si="61"/>
        <v>38720.310273972602</v>
      </c>
      <c r="F366" s="3">
        <v>113.45</v>
      </c>
      <c r="G366" s="3">
        <f t="shared" si="62"/>
        <v>8.8144557073600698</v>
      </c>
      <c r="H366" s="3">
        <v>1</v>
      </c>
      <c r="I366" s="3">
        <f>G366*SUM(R259:R262)</f>
        <v>21.119435874834725</v>
      </c>
      <c r="J366" s="3">
        <v>0</v>
      </c>
      <c r="K366" s="3">
        <v>126.7</v>
      </c>
      <c r="L366" s="15">
        <v>-1000</v>
      </c>
      <c r="M366" s="10">
        <f>G366*H366*K366+(I366)+(J366)</f>
        <v>1137.9109739973558</v>
      </c>
      <c r="N366" s="3">
        <f>(DATE(2006,1,3)-D366)/365</f>
        <v>1.2410958904109588</v>
      </c>
      <c r="O366" s="12">
        <f t="shared" si="69"/>
        <v>0.13791097399735577</v>
      </c>
      <c r="P366" s="12">
        <f t="shared" si="70"/>
        <v>0.10970786204234928</v>
      </c>
    </row>
    <row r="367" spans="4:16" x14ac:dyDescent="0.25">
      <c r="D367" s="2">
        <v>38278</v>
      </c>
      <c r="E367" s="13">
        <f t="shared" si="61"/>
        <v>39008.5</v>
      </c>
      <c r="F367" s="3">
        <v>111.68</v>
      </c>
      <c r="G367" s="3">
        <f t="shared" si="62"/>
        <v>8.9541547277936964</v>
      </c>
      <c r="H367" s="3">
        <v>1</v>
      </c>
      <c r="I367" s="3">
        <f>G367*SUM(R259:R266)</f>
        <v>42.272564469914045</v>
      </c>
      <c r="J367" s="3">
        <v>0</v>
      </c>
      <c r="K367" s="3">
        <v>136.59</v>
      </c>
      <c r="L367" s="15">
        <v>-1000</v>
      </c>
      <c r="M367" s="10">
        <f>G367*H367*K367+(I367)+(J367)</f>
        <v>1265.3205587392549</v>
      </c>
      <c r="N367" s="3">
        <v>2</v>
      </c>
      <c r="O367" s="12">
        <f t="shared" si="69"/>
        <v>0.26532055873925492</v>
      </c>
      <c r="P367" s="12">
        <f t="shared" si="70"/>
        <v>0.12486468463511424</v>
      </c>
    </row>
    <row r="368" spans="4:16" x14ac:dyDescent="0.25">
      <c r="D368" s="2">
        <v>38334</v>
      </c>
      <c r="E368" s="13">
        <f t="shared" ca="1" si="61"/>
        <v>41625.252739726027</v>
      </c>
      <c r="F368" s="3">
        <v>120.37</v>
      </c>
      <c r="G368" s="3">
        <f t="shared" ref="G368:G398" si="71">1000/F368</f>
        <v>8.307717869901138</v>
      </c>
      <c r="H368" s="3">
        <v>1</v>
      </c>
      <c r="I368" s="3">
        <f>G368*SUM(R259:R294)</f>
        <v>194.64152197391374</v>
      </c>
      <c r="J368" s="3">
        <v>0</v>
      </c>
      <c r="K368" s="3">
        <f>'Data (ignore)'!$B$1188</f>
        <v>178.13</v>
      </c>
      <c r="L368" s="15">
        <v>-1000</v>
      </c>
      <c r="M368" s="10">
        <f>K368*G368*H368+I368</f>
        <v>1674.4953061394035</v>
      </c>
      <c r="N368" s="3">
        <f ca="1">($Z$17-D368)/365</f>
        <v>9.0109589041095894</v>
      </c>
      <c r="O368" s="12">
        <f t="shared" si="69"/>
        <v>0.67449530613940356</v>
      </c>
      <c r="P368" s="12">
        <f t="shared" ca="1" si="70"/>
        <v>5.8877546425443628E-2</v>
      </c>
    </row>
    <row r="369" spans="4:16" x14ac:dyDescent="0.25">
      <c r="D369" s="2">
        <v>38400</v>
      </c>
      <c r="E369" s="13">
        <f t="shared" ref="E369:E432" si="72">D369+(365.25*N369)</f>
        <v>38791.267808219178</v>
      </c>
      <c r="F369" s="3">
        <v>120.23</v>
      </c>
      <c r="G369" s="3">
        <f t="shared" si="71"/>
        <v>8.3173916659735507</v>
      </c>
      <c r="H369" s="3">
        <v>1</v>
      </c>
      <c r="I369" s="3">
        <f>G369/2*SUM(R260:R262)+G369*SUM(R260:R265)</f>
        <v>32.949347084754223</v>
      </c>
      <c r="J369" s="3">
        <v>0</v>
      </c>
      <c r="K369" s="3">
        <v>130.47999999999999</v>
      </c>
      <c r="L369" s="15">
        <v>-1000</v>
      </c>
      <c r="M369" s="10">
        <f>G369/2*123.04+G369/2*130.43+I369</f>
        <v>1087.0539798719121</v>
      </c>
      <c r="N369" s="3">
        <f>((DATE(2005,9,30)+DATE(2006,8,28))/2-D369)/365</f>
        <v>1.0712328767123287</v>
      </c>
      <c r="O369" s="12">
        <f t="shared" si="69"/>
        <v>8.7053979871912129E-2</v>
      </c>
      <c r="P369" s="12">
        <f t="shared" si="70"/>
        <v>8.103698029269224E-2</v>
      </c>
    </row>
    <row r="370" spans="4:16" x14ac:dyDescent="0.25">
      <c r="D370" s="2">
        <v>38429</v>
      </c>
      <c r="E370" s="13">
        <f t="shared" si="72"/>
        <v>38545.079452054793</v>
      </c>
      <c r="F370" s="3">
        <v>118.54</v>
      </c>
      <c r="G370" s="3">
        <f t="shared" si="71"/>
        <v>8.4359709802598282</v>
      </c>
      <c r="H370" s="3">
        <v>1</v>
      </c>
      <c r="I370" s="3">
        <f>G370*R260</f>
        <v>3.9395984477813402</v>
      </c>
      <c r="J370" s="3">
        <v>0</v>
      </c>
      <c r="K370" s="3">
        <v>122.26</v>
      </c>
      <c r="L370" s="15">
        <v>-1000</v>
      </c>
      <c r="M370" s="10">
        <f>G370*H370*K370+(I370)+(J370)</f>
        <v>1035.3214104943479</v>
      </c>
      <c r="N370" s="3">
        <f>(DATE(2005,7,12)-D370)/365</f>
        <v>0.31780821917808222</v>
      </c>
      <c r="O370" s="12">
        <f t="shared" si="69"/>
        <v>3.53214104943479E-2</v>
      </c>
      <c r="P370" s="12">
        <f t="shared" si="70"/>
        <v>0.1154108940615719</v>
      </c>
    </row>
    <row r="371" spans="4:16" x14ac:dyDescent="0.25">
      <c r="D371" s="2">
        <v>38429</v>
      </c>
      <c r="E371" s="13">
        <f t="shared" ca="1" si="72"/>
        <v>40411.857191780822</v>
      </c>
      <c r="F371" s="3">
        <v>118.54</v>
      </c>
      <c r="G371" s="3">
        <f t="shared" si="71"/>
        <v>8.4359709802598282</v>
      </c>
      <c r="H371" s="3">
        <v>1</v>
      </c>
      <c r="I371" s="3">
        <f>G371/2*SUM(R261:R268)+G371/2*SUM(R261:R292)</f>
        <v>105.6394466003037</v>
      </c>
      <c r="J371" s="3">
        <v>0</v>
      </c>
      <c r="K371" s="3">
        <f>'Data (ignore)'!$B$1188</f>
        <v>178.13</v>
      </c>
      <c r="L371" s="15">
        <v>-1000</v>
      </c>
      <c r="M371" s="10">
        <f>G371/2*149.65+G371/2*K371+(I371)</f>
        <v>1488.2107305550869</v>
      </c>
      <c r="N371" s="3">
        <f ca="1">(($Z$17+DATE(2007,4,26))/2-D371)/365</f>
        <v>5.4287671232876713</v>
      </c>
      <c r="O371" s="12">
        <f t="shared" ref="O371:O420" si="73">(M371-1000)/1000</f>
        <v>0.4882107305550869</v>
      </c>
      <c r="P371" s="12">
        <f t="shared" ref="P371:P420" ca="1" si="74">(M371/1000)^(1/N371)-1</f>
        <v>7.5983122702757644E-2</v>
      </c>
    </row>
    <row r="372" spans="4:16" x14ac:dyDescent="0.25">
      <c r="D372" s="2">
        <v>38539</v>
      </c>
      <c r="E372" s="13">
        <f t="shared" si="72"/>
        <v>39839.890410958906</v>
      </c>
      <c r="F372" s="3">
        <v>119.48</v>
      </c>
      <c r="G372" s="3">
        <f t="shared" si="71"/>
        <v>8.3696016069635082</v>
      </c>
      <c r="H372" s="3">
        <v>1</v>
      </c>
      <c r="I372" s="3">
        <f>G372*SUM(R262:R275)</f>
        <v>75.845329762303322</v>
      </c>
      <c r="J372" s="3">
        <v>0</v>
      </c>
      <c r="K372" s="3">
        <v>83.68</v>
      </c>
      <c r="L372" s="15">
        <v>-1000</v>
      </c>
      <c r="M372" s="10">
        <f>G372*H372*K372+(I372)+(J372)</f>
        <v>776.21359223300976</v>
      </c>
      <c r="N372" s="3">
        <f>(DATE(2009,1,26)-D372)/365</f>
        <v>3.5616438356164384</v>
      </c>
      <c r="O372" s="12">
        <f t="shared" si="73"/>
        <v>-0.22378640776699024</v>
      </c>
      <c r="P372" s="12">
        <f t="shared" si="74"/>
        <v>-6.8656005835935119E-2</v>
      </c>
    </row>
    <row r="373" spans="4:16" x14ac:dyDescent="0.25">
      <c r="D373" s="2">
        <v>38539</v>
      </c>
      <c r="E373" s="13">
        <f t="shared" si="72"/>
        <v>38706.114383561646</v>
      </c>
      <c r="F373" s="3">
        <v>119.48</v>
      </c>
      <c r="G373" s="3">
        <f t="shared" si="71"/>
        <v>8.3696016069635082</v>
      </c>
      <c r="H373" s="3">
        <v>1</v>
      </c>
      <c r="I373" s="3">
        <f>G373*R262</f>
        <v>4.3689320388349513</v>
      </c>
      <c r="J373" s="3">
        <v>0</v>
      </c>
      <c r="K373" s="3">
        <v>125.83</v>
      </c>
      <c r="L373" s="15">
        <v>-1000</v>
      </c>
      <c r="M373" s="10">
        <f>G373*H373*K373+(I373)+(J373)</f>
        <v>1057.5159022430532</v>
      </c>
      <c r="N373" s="3">
        <f>(DATE(2005,12,20)-D373)/365</f>
        <v>0.45753424657534247</v>
      </c>
      <c r="O373" s="12">
        <f t="shared" si="73"/>
        <v>5.7515902243053231E-2</v>
      </c>
      <c r="P373" s="12">
        <f t="shared" si="74"/>
        <v>0.13000967384772233</v>
      </c>
    </row>
    <row r="374" spans="4:16" x14ac:dyDescent="0.25">
      <c r="D374" s="2">
        <v>38625</v>
      </c>
      <c r="E374" s="13">
        <f t="shared" si="72"/>
        <v>39359.502739726027</v>
      </c>
      <c r="F374" s="3">
        <v>123.04</v>
      </c>
      <c r="G374" s="3">
        <f t="shared" si="71"/>
        <v>8.1274382314694407</v>
      </c>
      <c r="H374" s="3">
        <v>1</v>
      </c>
      <c r="I374" s="3">
        <f>G374*SUM(R263:R270)</f>
        <v>40.994798439531863</v>
      </c>
      <c r="J374" s="3">
        <v>0</v>
      </c>
      <c r="K374" s="3">
        <v>154.02000000000001</v>
      </c>
      <c r="L374" s="15">
        <v>-1000</v>
      </c>
      <c r="M374" s="10">
        <f>G374*H374*K374+(I374)+(J374)</f>
        <v>1292.7828348504552</v>
      </c>
      <c r="N374" s="3">
        <f>(DATE(2007,10,4)-D374)/365</f>
        <v>2.010958904109589</v>
      </c>
      <c r="O374" s="12">
        <f t="shared" si="73"/>
        <v>0.2927828348504552</v>
      </c>
      <c r="P374" s="12">
        <f t="shared" si="74"/>
        <v>0.13621077662950554</v>
      </c>
    </row>
    <row r="375" spans="4:16" x14ac:dyDescent="0.25">
      <c r="D375" s="2">
        <v>38625</v>
      </c>
      <c r="E375" s="13">
        <f t="shared" ca="1" si="72"/>
        <v>41625.053424657533</v>
      </c>
      <c r="F375" s="3">
        <v>123.04</v>
      </c>
      <c r="G375" s="3">
        <f t="shared" si="71"/>
        <v>8.1274382314694407</v>
      </c>
      <c r="H375" s="3">
        <v>1</v>
      </c>
      <c r="I375" s="3">
        <f>G375*SUM(R263:R294)</f>
        <v>170.94440832249677</v>
      </c>
      <c r="J375" s="3">
        <v>0</v>
      </c>
      <c r="K375" s="3">
        <f>'Data (ignore)'!$B$1188</f>
        <v>178.13</v>
      </c>
      <c r="L375" s="15">
        <v>-1000</v>
      </c>
      <c r="M375" s="10">
        <f>G375*H375*K375+(I375)+(J375)</f>
        <v>1618.684980494148</v>
      </c>
      <c r="N375" s="3">
        <f ca="1">($Z$17-D375)/365</f>
        <v>8.213698630136987</v>
      </c>
      <c r="O375" s="12">
        <f t="shared" si="73"/>
        <v>0.618684980494148</v>
      </c>
      <c r="P375" s="12">
        <f t="shared" ca="1" si="74"/>
        <v>6.038862675434542E-2</v>
      </c>
    </row>
    <row r="376" spans="4:16" x14ac:dyDescent="0.25">
      <c r="D376" s="2">
        <v>38625</v>
      </c>
      <c r="E376" s="13">
        <f t="shared" ca="1" si="72"/>
        <v>41625.053424657533</v>
      </c>
      <c r="F376" s="3">
        <v>123.04</v>
      </c>
      <c r="G376" s="3">
        <f t="shared" si="71"/>
        <v>8.1274382314694407</v>
      </c>
      <c r="H376" s="3">
        <v>1</v>
      </c>
      <c r="I376" s="3">
        <f>G376*SUM(R263:R294)</f>
        <v>170.94440832249677</v>
      </c>
      <c r="J376" s="3">
        <v>0</v>
      </c>
      <c r="K376" s="3">
        <f>'Data (ignore)'!$B$1188</f>
        <v>178.13</v>
      </c>
      <c r="L376" s="15">
        <v>-1000</v>
      </c>
      <c r="M376" s="10">
        <f>G376*H376*K376+(I376)+(J376)</f>
        <v>1618.684980494148</v>
      </c>
      <c r="N376" s="3">
        <f ca="1">($Z$17-D376)/365</f>
        <v>8.213698630136987</v>
      </c>
      <c r="O376" s="12">
        <f t="shared" si="73"/>
        <v>0.618684980494148</v>
      </c>
      <c r="P376" s="12">
        <f t="shared" ca="1" si="74"/>
        <v>6.038862675434542E-2</v>
      </c>
    </row>
    <row r="377" spans="4:16" x14ac:dyDescent="0.25">
      <c r="D377" s="2">
        <v>38685</v>
      </c>
      <c r="E377" s="13">
        <f t="shared" si="72"/>
        <v>39060.256849315068</v>
      </c>
      <c r="F377" s="3">
        <v>126.09</v>
      </c>
      <c r="G377" s="3">
        <f t="shared" si="71"/>
        <v>7.9308430486160679</v>
      </c>
      <c r="H377" s="3">
        <v>1</v>
      </c>
      <c r="I377" s="3">
        <f>G377*SUM(R263:R266)</f>
        <v>18.439210088032361</v>
      </c>
      <c r="J377" s="3">
        <v>0</v>
      </c>
      <c r="K377" s="3">
        <v>141.83000000000001</v>
      </c>
      <c r="L377" s="15">
        <v>-1000</v>
      </c>
      <c r="M377" s="10">
        <f t="shared" ref="M377:M389" si="75">G377*H377*K377+(I377)+(J377)</f>
        <v>1143.2706796732493</v>
      </c>
      <c r="N377" s="3">
        <f>(DATE(2006,12,9)-D377)/365</f>
        <v>1.0273972602739727</v>
      </c>
      <c r="O377" s="12">
        <f t="shared" si="73"/>
        <v>0.14327067967324933</v>
      </c>
      <c r="P377" s="12">
        <f t="shared" si="74"/>
        <v>0.13919592808421544</v>
      </c>
    </row>
    <row r="378" spans="4:16" x14ac:dyDescent="0.25">
      <c r="D378" s="2">
        <v>38719</v>
      </c>
      <c r="E378" s="13">
        <f t="shared" si="72"/>
        <v>39979.863013698632</v>
      </c>
      <c r="F378" s="3">
        <v>126.7</v>
      </c>
      <c r="G378" s="3">
        <f t="shared" si="71"/>
        <v>7.8926598263614833</v>
      </c>
      <c r="H378" s="3">
        <v>1</v>
      </c>
      <c r="I378" s="3">
        <f>G378*SUM(R263:R276)</f>
        <v>71.83109707971586</v>
      </c>
      <c r="J378" s="3">
        <v>0</v>
      </c>
      <c r="K378" s="3">
        <v>92.9</v>
      </c>
      <c r="L378" s="15">
        <v>-1000</v>
      </c>
      <c r="M378" s="10">
        <f t="shared" si="75"/>
        <v>805.05919494869772</v>
      </c>
      <c r="N378" s="3">
        <f>(DATE(2009,6,15)-D378)/365</f>
        <v>3.452054794520548</v>
      </c>
      <c r="O378" s="12">
        <f t="shared" si="73"/>
        <v>-0.19494080505130229</v>
      </c>
      <c r="P378" s="12">
        <f t="shared" si="74"/>
        <v>-6.0882437961927161E-2</v>
      </c>
    </row>
    <row r="379" spans="4:16" x14ac:dyDescent="0.25">
      <c r="D379" s="2">
        <v>38723</v>
      </c>
      <c r="E379" s="13">
        <f t="shared" ca="1" si="72"/>
        <v>41624.986301369863</v>
      </c>
      <c r="F379" s="3">
        <v>128.44</v>
      </c>
      <c r="G379" s="3">
        <f t="shared" si="71"/>
        <v>7.785736530675802</v>
      </c>
      <c r="H379" s="3">
        <v>1</v>
      </c>
      <c r="I379" s="3">
        <f>G379*SUM(R263:R294)</f>
        <v>163.75739644970415</v>
      </c>
      <c r="J379" s="3">
        <v>0</v>
      </c>
      <c r="K379" s="3">
        <f>'Data (ignore)'!$B$1188</f>
        <v>178.13</v>
      </c>
      <c r="L379" s="15">
        <v>-1000</v>
      </c>
      <c r="M379" s="10">
        <f t="shared" si="75"/>
        <v>1550.6306446589847</v>
      </c>
      <c r="N379" s="3">
        <f ca="1">($Z$17-D379)/365</f>
        <v>7.9452054794520546</v>
      </c>
      <c r="O379" s="12">
        <f t="shared" si="73"/>
        <v>0.5506306446589847</v>
      </c>
      <c r="P379" s="12">
        <f t="shared" ca="1" si="74"/>
        <v>5.676343206456691E-2</v>
      </c>
    </row>
    <row r="380" spans="4:16" x14ac:dyDescent="0.25">
      <c r="D380" s="2">
        <v>38779</v>
      </c>
      <c r="E380" s="13">
        <f t="shared" ca="1" si="72"/>
        <v>41624.94794520548</v>
      </c>
      <c r="F380" s="3">
        <v>128.76</v>
      </c>
      <c r="G380" s="3">
        <f t="shared" si="71"/>
        <v>7.7663870767319052</v>
      </c>
      <c r="H380" s="3">
        <v>1</v>
      </c>
      <c r="I380" s="3">
        <f>G380*SUM(R264:R294)</f>
        <v>158.13140726933833</v>
      </c>
      <c r="J380" s="3">
        <v>0</v>
      </c>
      <c r="K380" s="3">
        <f>'Data (ignore)'!$B$1188</f>
        <v>178.13</v>
      </c>
      <c r="L380" s="15">
        <v>-1000</v>
      </c>
      <c r="M380" s="10">
        <f t="shared" si="75"/>
        <v>1541.5579372475925</v>
      </c>
      <c r="N380" s="3">
        <f ca="1">($Z$17-D380)/365</f>
        <v>7.7917808219178086</v>
      </c>
      <c r="O380" s="12">
        <f t="shared" si="73"/>
        <v>0.54155793724759249</v>
      </c>
      <c r="P380" s="12">
        <f t="shared" ca="1" si="74"/>
        <v>5.7116462362797993E-2</v>
      </c>
    </row>
    <row r="381" spans="4:16" x14ac:dyDescent="0.25">
      <c r="D381" s="2">
        <v>38833</v>
      </c>
      <c r="E381" s="13">
        <f t="shared" si="72"/>
        <v>39086.173287671234</v>
      </c>
      <c r="F381" s="3">
        <v>130.4</v>
      </c>
      <c r="G381" s="3">
        <f t="shared" si="71"/>
        <v>7.668711656441717</v>
      </c>
      <c r="H381" s="3">
        <v>1</v>
      </c>
      <c r="I381" s="3">
        <f>G381*SUM(R265:R266)</f>
        <v>8.6963190184049068</v>
      </c>
      <c r="J381" s="3">
        <v>0</v>
      </c>
      <c r="K381" s="3">
        <v>141.66999999999999</v>
      </c>
      <c r="L381" s="15">
        <v>-1000</v>
      </c>
      <c r="M381" s="10">
        <f t="shared" si="75"/>
        <v>1095.1226993865027</v>
      </c>
      <c r="N381" s="3">
        <f>(DATE(2007,1,4)-D381)/365</f>
        <v>0.69315068493150689</v>
      </c>
      <c r="O381" s="12">
        <f t="shared" si="73"/>
        <v>9.5122699386502751E-2</v>
      </c>
      <c r="P381" s="12">
        <f t="shared" si="74"/>
        <v>0.14007250138643701</v>
      </c>
    </row>
    <row r="382" spans="4:16" x14ac:dyDescent="0.25">
      <c r="D382" s="2">
        <v>38888</v>
      </c>
      <c r="E382" s="13">
        <f t="shared" si="72"/>
        <v>39506.423287671234</v>
      </c>
      <c r="F382" s="3">
        <v>124.09</v>
      </c>
      <c r="G382" s="3">
        <f t="shared" si="71"/>
        <v>8.0586670964622442</v>
      </c>
      <c r="H382" s="3">
        <v>1</v>
      </c>
      <c r="I382" s="3">
        <f>G382*SUM(R266:R271)</f>
        <v>32.822951083890722</v>
      </c>
      <c r="J382" s="3">
        <v>0</v>
      </c>
      <c r="K382" s="3">
        <v>136.87</v>
      </c>
      <c r="L382" s="15">
        <v>-1000</v>
      </c>
      <c r="M382" s="10">
        <f t="shared" si="75"/>
        <v>1135.8127165766782</v>
      </c>
      <c r="N382" s="3">
        <f>(DATE(2008,2,28)-D382)/365</f>
        <v>1.6931506849315068</v>
      </c>
      <c r="O382" s="12">
        <f t="shared" si="73"/>
        <v>0.13581271657667821</v>
      </c>
      <c r="P382" s="12">
        <f t="shared" si="74"/>
        <v>7.8114721107571006E-2</v>
      </c>
    </row>
    <row r="383" spans="4:16" x14ac:dyDescent="0.25">
      <c r="D383" s="2">
        <v>38933</v>
      </c>
      <c r="E383" s="13">
        <f t="shared" si="72"/>
        <v>39086.10479452055</v>
      </c>
      <c r="F383" s="3">
        <v>128.19999999999999</v>
      </c>
      <c r="G383" s="3">
        <f t="shared" si="71"/>
        <v>7.8003120124805001</v>
      </c>
      <c r="H383" s="3">
        <v>1</v>
      </c>
      <c r="I383" s="3">
        <f>G383*R266</f>
        <v>4.5163806552262091</v>
      </c>
      <c r="J383" s="3">
        <v>0</v>
      </c>
      <c r="K383" s="3">
        <v>141.66999999999999</v>
      </c>
      <c r="L383" s="15">
        <v>-1000</v>
      </c>
      <c r="M383" s="10">
        <f t="shared" si="75"/>
        <v>1109.5865834633385</v>
      </c>
      <c r="N383" s="3">
        <f>(DATE(2007,1,4)-D383)/365</f>
        <v>0.41917808219178082</v>
      </c>
      <c r="O383" s="12">
        <f t="shared" si="73"/>
        <v>0.10958658346333845</v>
      </c>
      <c r="P383" s="12">
        <f t="shared" si="74"/>
        <v>0.28155572696166131</v>
      </c>
    </row>
    <row r="384" spans="4:16" x14ac:dyDescent="0.25">
      <c r="D384" s="2">
        <v>38957</v>
      </c>
      <c r="E384" s="13">
        <f t="shared" ca="1" si="72"/>
        <v>41624.826027397263</v>
      </c>
      <c r="F384" s="3">
        <v>130.43</v>
      </c>
      <c r="G384" s="3">
        <f t="shared" si="71"/>
        <v>7.6669477880855625</v>
      </c>
      <c r="H384" s="3">
        <v>1</v>
      </c>
      <c r="I384" s="3">
        <f>G384*SUM(R266:R294)</f>
        <v>147.87242198880625</v>
      </c>
      <c r="J384" s="3">
        <v>0</v>
      </c>
      <c r="K384" s="3">
        <f>'Data (ignore)'!$B$1188</f>
        <v>178.13</v>
      </c>
      <c r="L384" s="15">
        <v>-1000</v>
      </c>
      <c r="M384" s="10">
        <f t="shared" si="75"/>
        <v>1513.5858314804875</v>
      </c>
      <c r="N384" s="3">
        <f ca="1">($Z$17-D384)/365</f>
        <v>7.3041095890410963</v>
      </c>
      <c r="O384" s="12">
        <f t="shared" si="73"/>
        <v>0.51358583148048753</v>
      </c>
      <c r="P384" s="12">
        <f t="shared" ca="1" si="74"/>
        <v>5.8387316298811998E-2</v>
      </c>
    </row>
    <row r="385" spans="4:16" x14ac:dyDescent="0.25">
      <c r="D385" s="2">
        <v>39156</v>
      </c>
      <c r="E385" s="13">
        <f t="shared" ca="1" si="72"/>
        <v>41624.689726027398</v>
      </c>
      <c r="F385" s="3">
        <v>139.47</v>
      </c>
      <c r="G385" s="3">
        <f t="shared" si="71"/>
        <v>7.1700007170000717</v>
      </c>
      <c r="H385" s="3">
        <v>1</v>
      </c>
      <c r="I385" s="3">
        <f>G385*SUM(R268:R294)</f>
        <v>128.45056284505631</v>
      </c>
      <c r="J385" s="3">
        <v>0</v>
      </c>
      <c r="K385" s="3">
        <f>'Data (ignore)'!$B$1188</f>
        <v>178.13</v>
      </c>
      <c r="L385" s="15">
        <v>-1000</v>
      </c>
      <c r="M385" s="10">
        <f t="shared" si="75"/>
        <v>1405.642790564279</v>
      </c>
      <c r="N385" s="3">
        <f ca="1">($Z$17-D385)/365</f>
        <v>6.7589041095890412</v>
      </c>
      <c r="O385" s="12">
        <f t="shared" si="73"/>
        <v>0.40564279056427904</v>
      </c>
      <c r="P385" s="12">
        <f t="shared" ca="1" si="74"/>
        <v>5.1667716268376074E-2</v>
      </c>
    </row>
    <row r="386" spans="4:16" x14ac:dyDescent="0.25">
      <c r="D386" s="2">
        <v>39248</v>
      </c>
      <c r="E386" s="13">
        <f t="shared" si="72"/>
        <v>40226.669863013696</v>
      </c>
      <c r="F386" s="3">
        <v>153.07</v>
      </c>
      <c r="G386" s="3">
        <f t="shared" si="71"/>
        <v>6.5329587770301174</v>
      </c>
      <c r="H386" s="3">
        <v>1</v>
      </c>
      <c r="I386" s="3">
        <f>G386*SUM(R269:R279)</f>
        <v>46.044293460508271</v>
      </c>
      <c r="J386" s="3">
        <v>0</v>
      </c>
      <c r="K386" s="3">
        <v>110.26</v>
      </c>
      <c r="L386" s="15">
        <v>-1000</v>
      </c>
      <c r="M386" s="10">
        <f t="shared" si="75"/>
        <v>766.36832821584903</v>
      </c>
      <c r="N386" s="3">
        <f>(DATE(2010,2,17)-D386)/365</f>
        <v>2.6794520547945204</v>
      </c>
      <c r="O386" s="12">
        <f t="shared" si="73"/>
        <v>-0.23363167178415098</v>
      </c>
      <c r="P386" s="12">
        <f t="shared" si="74"/>
        <v>-9.4536675301641004E-2</v>
      </c>
    </row>
    <row r="387" spans="4:16" x14ac:dyDescent="0.25">
      <c r="D387" s="2">
        <v>39288</v>
      </c>
      <c r="E387" s="13">
        <f t="shared" ca="1" si="72"/>
        <v>41624.599315068495</v>
      </c>
      <c r="F387" s="3">
        <v>151.61000000000001</v>
      </c>
      <c r="G387" s="3">
        <f t="shared" si="71"/>
        <v>6.5958709847635371</v>
      </c>
      <c r="H387" s="3">
        <v>1</v>
      </c>
      <c r="I387" s="3">
        <f>G387*SUM(R270:R294)</f>
        <v>110.20381241342919</v>
      </c>
      <c r="J387" s="3">
        <v>0</v>
      </c>
      <c r="K387" s="3">
        <f>'Data (ignore)'!$B$1188</f>
        <v>178.13</v>
      </c>
      <c r="L387" s="15">
        <v>-1000</v>
      </c>
      <c r="M387" s="10">
        <f t="shared" si="75"/>
        <v>1285.1263109293579</v>
      </c>
      <c r="N387" s="3">
        <f t="shared" ref="N387:N393" ca="1" si="76">($Z$17-D387)/365</f>
        <v>6.397260273972603</v>
      </c>
      <c r="O387" s="12">
        <f t="shared" si="73"/>
        <v>0.28512631092935792</v>
      </c>
      <c r="P387" s="12">
        <f t="shared" ca="1" si="74"/>
        <v>3.9992180397359745E-2</v>
      </c>
    </row>
    <row r="388" spans="4:16" x14ac:dyDescent="0.25">
      <c r="D388" s="2">
        <v>39367</v>
      </c>
      <c r="E388" s="13">
        <f t="shared" ca="1" si="72"/>
        <v>41624.545205479451</v>
      </c>
      <c r="F388" s="3">
        <v>156.33000000000001</v>
      </c>
      <c r="G388" s="3">
        <f t="shared" si="71"/>
        <v>6.396724876863046</v>
      </c>
      <c r="H388" s="3">
        <v>1</v>
      </c>
      <c r="I388" s="3">
        <f>G388*SUM(R271:R294)</f>
        <v>102.27723405616325</v>
      </c>
      <c r="J388" s="3">
        <v>0</v>
      </c>
      <c r="K388" s="3">
        <f>'Data (ignore)'!$B$1188</f>
        <v>178.13</v>
      </c>
      <c r="L388" s="15">
        <v>-1000</v>
      </c>
      <c r="M388" s="10">
        <f t="shared" si="75"/>
        <v>1241.7258363717776</v>
      </c>
      <c r="N388" s="3">
        <f t="shared" ca="1" si="76"/>
        <v>6.1808219178082195</v>
      </c>
      <c r="O388" s="12">
        <f t="shared" si="73"/>
        <v>0.24172583637177764</v>
      </c>
      <c r="P388" s="12">
        <f t="shared" ca="1" si="74"/>
        <v>3.5648771125204259E-2</v>
      </c>
    </row>
    <row r="389" spans="4:16" x14ac:dyDescent="0.25">
      <c r="D389" s="2">
        <v>39374</v>
      </c>
      <c r="E389" s="13">
        <f t="shared" ca="1" si="72"/>
        <v>41624.540410958907</v>
      </c>
      <c r="F389" s="3">
        <v>149.66999999999999</v>
      </c>
      <c r="G389" s="3">
        <f t="shared" si="71"/>
        <v>6.6813656711431824</v>
      </c>
      <c r="H389" s="3">
        <v>1</v>
      </c>
      <c r="I389" s="3">
        <f>G389*SUM(R271:R294)</f>
        <v>106.82835571590834</v>
      </c>
      <c r="J389" s="3">
        <v>0</v>
      </c>
      <c r="K389" s="3">
        <f>'Data (ignore)'!$B$1188</f>
        <v>178.13</v>
      </c>
      <c r="L389" s="15">
        <v>-1000</v>
      </c>
      <c r="M389" s="10">
        <f t="shared" si="75"/>
        <v>1296.9800227166434</v>
      </c>
      <c r="N389" s="3">
        <f t="shared" ca="1" si="76"/>
        <v>6.161643835616438</v>
      </c>
      <c r="O389" s="12">
        <f t="shared" si="73"/>
        <v>0.29698002271664337</v>
      </c>
      <c r="P389" s="12">
        <f t="shared" ca="1" si="74"/>
        <v>4.3105978894550034E-2</v>
      </c>
    </row>
    <row r="390" spans="4:16" x14ac:dyDescent="0.25">
      <c r="D390" s="2">
        <v>39394</v>
      </c>
      <c r="E390" s="13">
        <f t="shared" ca="1" si="72"/>
        <v>41624.52671232877</v>
      </c>
      <c r="F390" s="3">
        <v>147.16</v>
      </c>
      <c r="G390" s="3">
        <f t="shared" si="71"/>
        <v>6.7953248165262305</v>
      </c>
      <c r="H390" s="3">
        <v>1</v>
      </c>
      <c r="I390" s="3">
        <f>G390*SUM(R271:R294)</f>
        <v>108.6504484914379</v>
      </c>
      <c r="J390" s="3">
        <v>0</v>
      </c>
      <c r="K390" s="3">
        <f>'Data (ignore)'!$B$1188</f>
        <v>178.13</v>
      </c>
      <c r="L390" s="15">
        <v>-1000</v>
      </c>
      <c r="M390" s="10">
        <f>G390*H390*K390+(I390)+(J390)</f>
        <v>1319.1016580592552</v>
      </c>
      <c r="N390" s="3">
        <f t="shared" ca="1" si="76"/>
        <v>6.1068493150684935</v>
      </c>
      <c r="O390" s="12">
        <f t="shared" si="73"/>
        <v>0.31910165805925522</v>
      </c>
      <c r="P390" s="12">
        <f t="shared" ca="1" si="74"/>
        <v>4.6394946402006809E-2</v>
      </c>
    </row>
    <row r="391" spans="4:16" x14ac:dyDescent="0.25">
      <c r="D391" s="2">
        <v>39409</v>
      </c>
      <c r="E391" s="13">
        <f t="shared" ca="1" si="72"/>
        <v>41624.516438356164</v>
      </c>
      <c r="F391" s="3">
        <v>144.13</v>
      </c>
      <c r="G391" s="3">
        <f t="shared" si="71"/>
        <v>6.9381808089918824</v>
      </c>
      <c r="H391" s="3">
        <v>1</v>
      </c>
      <c r="I391" s="3">
        <f>G391*SUM(R271:R294)</f>
        <v>110.93457295497122</v>
      </c>
      <c r="J391" s="3">
        <v>0</v>
      </c>
      <c r="K391" s="3">
        <f>'Data (ignore)'!$B$1188</f>
        <v>178.13</v>
      </c>
      <c r="L391" s="15">
        <v>-1000</v>
      </c>
      <c r="M391" s="10">
        <f>G391*H391*K391+(I391)+(J391)</f>
        <v>1346.8327204606951</v>
      </c>
      <c r="N391" s="3">
        <f t="shared" ca="1" si="76"/>
        <v>6.065753424657534</v>
      </c>
      <c r="O391" s="12">
        <f t="shared" si="73"/>
        <v>0.34683272046069508</v>
      </c>
      <c r="P391" s="12">
        <f t="shared" ca="1" si="74"/>
        <v>5.0312774001184168E-2</v>
      </c>
    </row>
    <row r="392" spans="4:16" x14ac:dyDescent="0.25">
      <c r="D392" s="2">
        <v>39412</v>
      </c>
      <c r="E392" s="13">
        <f t="shared" ca="1" si="72"/>
        <v>41624.514383561647</v>
      </c>
      <c r="F392" s="3">
        <v>140.94999999999999</v>
      </c>
      <c r="G392" s="3">
        <f t="shared" si="71"/>
        <v>7.0947144377438818</v>
      </c>
      <c r="H392" s="3">
        <v>1</v>
      </c>
      <c r="I392" s="3">
        <f>G392*SUM(R271:R294)</f>
        <v>113.43738914508693</v>
      </c>
      <c r="J392" s="3">
        <v>0</v>
      </c>
      <c r="K392" s="3">
        <f>'Data (ignore)'!$B$1188</f>
        <v>178.13</v>
      </c>
      <c r="L392" s="15">
        <v>-1000</v>
      </c>
      <c r="M392" s="10">
        <f>G392*H392*K392+(I392)+(J392)</f>
        <v>1377.2188719404044</v>
      </c>
      <c r="N392" s="3">
        <f t="shared" ca="1" si="76"/>
        <v>6.0575342465753428</v>
      </c>
      <c r="O392" s="12">
        <f t="shared" si="73"/>
        <v>0.37721887194040438</v>
      </c>
      <c r="P392" s="12">
        <f t="shared" ca="1" si="74"/>
        <v>5.4258521289443085E-2</v>
      </c>
    </row>
    <row r="393" spans="4:16" x14ac:dyDescent="0.25">
      <c r="D393" s="2">
        <v>39489</v>
      </c>
      <c r="E393" s="13">
        <f t="shared" ca="1" si="72"/>
        <v>41624.461643835617</v>
      </c>
      <c r="F393" s="3">
        <v>133.75</v>
      </c>
      <c r="G393" s="3">
        <f t="shared" si="71"/>
        <v>7.4766355140186915</v>
      </c>
      <c r="H393" s="3">
        <v>1</v>
      </c>
      <c r="I393" s="3">
        <f>G393*SUM(R272:R294)</f>
        <v>113.74953271028036</v>
      </c>
      <c r="J393" s="3">
        <v>0</v>
      </c>
      <c r="K393" s="3">
        <f>'Data (ignore)'!$B$1188</f>
        <v>178.13</v>
      </c>
      <c r="L393" s="15">
        <v>-1000</v>
      </c>
      <c r="M393" s="10">
        <f>G393*H393*K393+(I393)+(J393)</f>
        <v>1445.5626168224298</v>
      </c>
      <c r="N393" s="3">
        <f t="shared" ca="1" si="76"/>
        <v>5.8465753424657532</v>
      </c>
      <c r="O393" s="12">
        <f t="shared" si="73"/>
        <v>0.44556261682242987</v>
      </c>
      <c r="P393" s="12">
        <f t="shared" ca="1" si="74"/>
        <v>6.5056778682309968E-2</v>
      </c>
    </row>
    <row r="394" spans="4:16" x14ac:dyDescent="0.25">
      <c r="D394" s="2">
        <v>39554</v>
      </c>
      <c r="E394" s="13">
        <f t="shared" si="72"/>
        <v>39772.149315068491</v>
      </c>
      <c r="F394" s="3">
        <v>136.85</v>
      </c>
      <c r="G394" s="3">
        <f t="shared" si="71"/>
        <v>7.3072707343807091</v>
      </c>
      <c r="H394" s="3">
        <v>1</v>
      </c>
      <c r="I394" s="3">
        <f>G394/2*R273+G394/2*SUM(R273:R274)</f>
        <v>7.4132261600292289</v>
      </c>
      <c r="J394" s="3">
        <v>0</v>
      </c>
      <c r="K394" s="3">
        <f>(176+140)/2</f>
        <v>158</v>
      </c>
      <c r="L394" s="15">
        <v>-1000</v>
      </c>
      <c r="M394" s="10">
        <f>G394/2*88.5+G394/2*90.24+I394</f>
        <v>660.46401169163312</v>
      </c>
      <c r="N394" s="3">
        <f>((DATE(2008,10,10)+DATE(2008,12,31))/2-D394)/365</f>
        <v>0.59726027397260273</v>
      </c>
      <c r="O394" s="12">
        <f t="shared" si="73"/>
        <v>-0.3395359883083669</v>
      </c>
      <c r="P394" s="12">
        <f t="shared" si="74"/>
        <v>-0.50068881253391728</v>
      </c>
    </row>
    <row r="395" spans="4:16" x14ac:dyDescent="0.25">
      <c r="D395" s="2">
        <v>39568</v>
      </c>
      <c r="E395" s="13">
        <f t="shared" si="72"/>
        <v>40087.355479452053</v>
      </c>
      <c r="F395" s="3">
        <v>138.26</v>
      </c>
      <c r="G395" s="3">
        <f t="shared" si="71"/>
        <v>7.2327498915087522</v>
      </c>
      <c r="H395" s="3">
        <v>1</v>
      </c>
      <c r="I395" s="3">
        <f>G395*SUM(R273:R278)</f>
        <v>26.515261102271083</v>
      </c>
      <c r="J395" s="3">
        <v>0</v>
      </c>
      <c r="K395" s="3">
        <v>102.97</v>
      </c>
      <c r="L395" s="15">
        <v>-1000</v>
      </c>
      <c r="M395" s="10">
        <f>G395*H395*K395+(I395)+(J395)</f>
        <v>771.27151743092736</v>
      </c>
      <c r="N395" s="3">
        <f>(DATE(2009,10,1)-D395)/365</f>
        <v>1.4219178082191781</v>
      </c>
      <c r="O395" s="12">
        <f t="shared" si="73"/>
        <v>-0.22872848256907263</v>
      </c>
      <c r="P395" s="12">
        <f t="shared" si="74"/>
        <v>-0.16694121319341915</v>
      </c>
    </row>
    <row r="396" spans="4:16" x14ac:dyDescent="0.25">
      <c r="D396" s="2">
        <v>39575</v>
      </c>
      <c r="E396" s="13">
        <f t="shared" ca="1" si="72"/>
        <v>41624.402739726029</v>
      </c>
      <c r="F396" s="3">
        <v>139.52000000000001</v>
      </c>
      <c r="G396" s="3">
        <f t="shared" si="71"/>
        <v>7.1674311926605503</v>
      </c>
      <c r="H396" s="3">
        <v>1</v>
      </c>
      <c r="I396" s="3">
        <f>G396*SUM(R273:R294)</f>
        <v>104.44380733944953</v>
      </c>
      <c r="J396" s="3">
        <v>0</v>
      </c>
      <c r="K396" s="3">
        <f>'Data (ignore)'!$B$1188</f>
        <v>178.13</v>
      </c>
      <c r="L396" s="15">
        <v>-1000</v>
      </c>
      <c r="M396" s="10">
        <f>G396*H396*K396+(I396)+(J396)</f>
        <v>1381.1783256880733</v>
      </c>
      <c r="N396" s="3">
        <f t="shared" ref="N396:N402" ca="1" si="77">($Z$17-D396)/365</f>
        <v>5.6109589041095891</v>
      </c>
      <c r="O396" s="12">
        <f t="shared" si="73"/>
        <v>0.38117832568807331</v>
      </c>
      <c r="P396" s="12">
        <f t="shared" ca="1" si="74"/>
        <v>5.9243197892697719E-2</v>
      </c>
    </row>
    <row r="397" spans="4:16" x14ac:dyDescent="0.25">
      <c r="D397" s="2">
        <v>39645</v>
      </c>
      <c r="E397" s="13">
        <f t="shared" ca="1" si="72"/>
        <v>41624.35479452055</v>
      </c>
      <c r="F397" s="3">
        <v>123.96</v>
      </c>
      <c r="G397" s="3">
        <f t="shared" si="71"/>
        <v>8.0671184252984833</v>
      </c>
      <c r="H397" s="3">
        <v>1</v>
      </c>
      <c r="I397" s="3">
        <f>G397*SUM(R274:R294)</f>
        <v>112.15714746692483</v>
      </c>
      <c r="J397" s="3">
        <v>0</v>
      </c>
      <c r="K397" s="3">
        <f>'Data (ignore)'!$B$1188</f>
        <v>178.13</v>
      </c>
      <c r="L397" s="15">
        <v>-1000</v>
      </c>
      <c r="M397" s="10">
        <f t="shared" ref="M397:M411" si="78">G397*H397*K397+(I397)+(J397)</f>
        <v>1549.1529525653436</v>
      </c>
      <c r="N397" s="3">
        <f t="shared" ca="1" si="77"/>
        <v>5.419178082191781</v>
      </c>
      <c r="O397" s="12">
        <f t="shared" si="73"/>
        <v>0.54915295256534369</v>
      </c>
      <c r="P397" s="12">
        <f t="shared" ca="1" si="74"/>
        <v>8.4121777135977016E-2</v>
      </c>
    </row>
    <row r="398" spans="4:16" x14ac:dyDescent="0.25">
      <c r="D398" s="2">
        <v>39645</v>
      </c>
      <c r="E398" s="13">
        <f t="shared" ca="1" si="72"/>
        <v>41624.35479452055</v>
      </c>
      <c r="F398" s="3">
        <v>123.96</v>
      </c>
      <c r="G398" s="3">
        <f t="shared" si="71"/>
        <v>8.0671184252984833</v>
      </c>
      <c r="H398" s="3">
        <v>1</v>
      </c>
      <c r="I398" s="3">
        <f>G398*SUM(R274:R294)</f>
        <v>112.15714746692483</v>
      </c>
      <c r="J398" s="3">
        <v>0</v>
      </c>
      <c r="K398" s="3">
        <f>'Data (ignore)'!$B$1188</f>
        <v>178.13</v>
      </c>
      <c r="L398" s="15">
        <v>-1000</v>
      </c>
      <c r="M398" s="10">
        <f t="shared" si="78"/>
        <v>1549.1529525653436</v>
      </c>
      <c r="N398" s="3">
        <f t="shared" ca="1" si="77"/>
        <v>5.419178082191781</v>
      </c>
      <c r="O398" s="12">
        <f t="shared" si="73"/>
        <v>0.54915295256534369</v>
      </c>
      <c r="P398" s="12">
        <f t="shared" ca="1" si="74"/>
        <v>8.4121777135977016E-2</v>
      </c>
    </row>
    <row r="399" spans="4:16" x14ac:dyDescent="0.25">
      <c r="D399" s="2">
        <v>39645</v>
      </c>
      <c r="E399" s="13">
        <f t="shared" ca="1" si="72"/>
        <v>41624.35479452055</v>
      </c>
      <c r="F399" s="3">
        <v>123.96</v>
      </c>
      <c r="G399" s="3">
        <f>1000/F399</f>
        <v>8.0671184252984833</v>
      </c>
      <c r="H399" s="3">
        <v>1</v>
      </c>
      <c r="I399" s="3">
        <f>G399*SUM(R274:R294)</f>
        <v>112.15714746692483</v>
      </c>
      <c r="J399" s="3">
        <v>0</v>
      </c>
      <c r="K399" s="3">
        <f>'Data (ignore)'!$B$1188</f>
        <v>178.13</v>
      </c>
      <c r="L399" s="15">
        <v>-1000</v>
      </c>
      <c r="M399" s="10">
        <f t="shared" si="78"/>
        <v>1549.1529525653436</v>
      </c>
      <c r="N399" s="3">
        <f t="shared" ca="1" si="77"/>
        <v>5.419178082191781</v>
      </c>
      <c r="O399" s="12">
        <f t="shared" si="73"/>
        <v>0.54915295256534369</v>
      </c>
      <c r="P399" s="12">
        <f t="shared" ca="1" si="74"/>
        <v>8.4121777135977016E-2</v>
      </c>
    </row>
    <row r="400" spans="4:16" x14ac:dyDescent="0.25">
      <c r="D400" s="2">
        <v>39645</v>
      </c>
      <c r="E400" s="13">
        <f t="shared" ca="1" si="72"/>
        <v>41624.35479452055</v>
      </c>
      <c r="F400" s="3">
        <v>123.96</v>
      </c>
      <c r="G400" s="3">
        <f>1000/F400</f>
        <v>8.0671184252984833</v>
      </c>
      <c r="H400" s="3">
        <v>1</v>
      </c>
      <c r="I400" s="3">
        <f>G400*SUM(R274:R294)</f>
        <v>112.15714746692483</v>
      </c>
      <c r="J400" s="3">
        <v>0</v>
      </c>
      <c r="K400" s="3">
        <f>'Data (ignore)'!$B$1188</f>
        <v>178.13</v>
      </c>
      <c r="L400" s="15">
        <v>-1000</v>
      </c>
      <c r="M400" s="10">
        <f t="shared" si="78"/>
        <v>1549.1529525653436</v>
      </c>
      <c r="N400" s="3">
        <f t="shared" ca="1" si="77"/>
        <v>5.419178082191781</v>
      </c>
      <c r="O400" s="12">
        <f t="shared" si="73"/>
        <v>0.54915295256534369</v>
      </c>
      <c r="P400" s="12">
        <f t="shared" ca="1" si="74"/>
        <v>8.4121777135977016E-2</v>
      </c>
    </row>
    <row r="401" spans="4:16" x14ac:dyDescent="0.25">
      <c r="D401" s="2">
        <v>39645</v>
      </c>
      <c r="E401" s="13">
        <f t="shared" ca="1" si="72"/>
        <v>41624.35479452055</v>
      </c>
      <c r="F401" s="3">
        <v>123.96</v>
      </c>
      <c r="G401" s="3">
        <f>1000/F401</f>
        <v>8.0671184252984833</v>
      </c>
      <c r="H401" s="3">
        <v>1</v>
      </c>
      <c r="I401" s="3">
        <f>G401*SUM(R274:R294)</f>
        <v>112.15714746692483</v>
      </c>
      <c r="J401" s="3">
        <v>0</v>
      </c>
      <c r="K401" s="3">
        <f>'Data (ignore)'!$B$1188</f>
        <v>178.13</v>
      </c>
      <c r="L401" s="15">
        <v>-1000</v>
      </c>
      <c r="M401" s="10">
        <f t="shared" si="78"/>
        <v>1549.1529525653436</v>
      </c>
      <c r="N401" s="3">
        <f t="shared" ca="1" si="77"/>
        <v>5.419178082191781</v>
      </c>
      <c r="O401" s="12">
        <f t="shared" si="73"/>
        <v>0.54915295256534369</v>
      </c>
      <c r="P401" s="12">
        <f t="shared" ca="1" si="74"/>
        <v>8.4121777135977016E-2</v>
      </c>
    </row>
    <row r="402" spans="4:16" x14ac:dyDescent="0.25">
      <c r="D402" s="2">
        <v>39672</v>
      </c>
      <c r="E402" s="13">
        <f t="shared" ca="1" si="72"/>
        <v>41624.336301369862</v>
      </c>
      <c r="F402" s="3">
        <v>129.35</v>
      </c>
      <c r="G402" s="3">
        <f t="shared" ref="G402:G479" si="79">1000/F402</f>
        <v>7.7309625048318518</v>
      </c>
      <c r="H402" s="3">
        <v>1</v>
      </c>
      <c r="I402" s="3">
        <f>G402*SUM(R274:R294)</f>
        <v>107.48357170467725</v>
      </c>
      <c r="J402" s="3">
        <v>0</v>
      </c>
      <c r="K402" s="3">
        <f>'Data (ignore)'!$B$1188</f>
        <v>178.13</v>
      </c>
      <c r="L402" s="15">
        <v>-1000</v>
      </c>
      <c r="M402" s="10">
        <f t="shared" si="78"/>
        <v>1484.5999226903748</v>
      </c>
      <c r="N402" s="3">
        <f t="shared" ca="1" si="77"/>
        <v>5.3452054794520549</v>
      </c>
      <c r="O402" s="12">
        <f t="shared" si="73"/>
        <v>0.48459992269037477</v>
      </c>
      <c r="P402" s="12">
        <f t="shared" ca="1" si="74"/>
        <v>7.6726251175990079E-2</v>
      </c>
    </row>
    <row r="403" spans="4:16" x14ac:dyDescent="0.25">
      <c r="D403" s="2">
        <v>39744</v>
      </c>
      <c r="E403" s="13">
        <f t="shared" si="72"/>
        <v>40022.190410958901</v>
      </c>
      <c r="F403" s="3">
        <v>91.69</v>
      </c>
      <c r="G403" s="3">
        <f t="shared" si="79"/>
        <v>10.906314756243866</v>
      </c>
      <c r="H403" s="3">
        <v>1</v>
      </c>
      <c r="I403" s="3">
        <f>G403*SUM(R275:R277)</f>
        <v>19.60955393172647</v>
      </c>
      <c r="J403" s="3">
        <v>0</v>
      </c>
      <c r="K403" s="3">
        <v>97.89</v>
      </c>
      <c r="L403" s="15">
        <v>-1000</v>
      </c>
      <c r="M403" s="10">
        <f t="shared" si="78"/>
        <v>1087.2287054204385</v>
      </c>
      <c r="N403" s="3">
        <f>(DATE(2009,7,28)-D403)/365</f>
        <v>0.76164383561643834</v>
      </c>
      <c r="O403" s="12">
        <f t="shared" si="73"/>
        <v>8.7228705420438479E-2</v>
      </c>
      <c r="P403" s="12">
        <f t="shared" si="74"/>
        <v>0.11605995618387932</v>
      </c>
    </row>
    <row r="404" spans="4:16" x14ac:dyDescent="0.25">
      <c r="D404" s="2">
        <v>39744</v>
      </c>
      <c r="E404" s="13">
        <f t="shared" si="72"/>
        <v>40570.565753424657</v>
      </c>
      <c r="F404" s="3">
        <v>91.69</v>
      </c>
      <c r="G404" s="3">
        <f t="shared" si="79"/>
        <v>10.906314756243866</v>
      </c>
      <c r="H404" s="3">
        <v>1</v>
      </c>
      <c r="I404" s="3">
        <f>G404*SUM(R275:R283)</f>
        <v>56.298396771730843</v>
      </c>
      <c r="J404" s="3">
        <v>0</v>
      </c>
      <c r="K404" s="3">
        <v>129.99</v>
      </c>
      <c r="L404" s="15">
        <v>-1000</v>
      </c>
      <c r="M404" s="10">
        <f t="shared" si="78"/>
        <v>1474.0102519358711</v>
      </c>
      <c r="N404" s="3">
        <f>(DATE(2011,1,27)-D404)/365</f>
        <v>2.2630136986301368</v>
      </c>
      <c r="O404" s="12">
        <f t="shared" si="73"/>
        <v>0.4740102519358711</v>
      </c>
      <c r="P404" s="12">
        <f t="shared" si="74"/>
        <v>0.18702114466578323</v>
      </c>
    </row>
    <row r="405" spans="4:16" x14ac:dyDescent="0.25">
      <c r="D405" s="2">
        <v>39792</v>
      </c>
      <c r="E405" s="13">
        <f t="shared" si="72"/>
        <v>40515.495205479448</v>
      </c>
      <c r="F405" s="3">
        <v>90.11</v>
      </c>
      <c r="G405" s="3">
        <f t="shared" si="79"/>
        <v>11.097547442015316</v>
      </c>
      <c r="H405" s="3">
        <v>1</v>
      </c>
      <c r="I405" s="3">
        <f>G405*SUM(R275:R282)</f>
        <v>50.038841416047063</v>
      </c>
      <c r="J405" s="3">
        <v>0</v>
      </c>
      <c r="K405" s="3">
        <v>122.89</v>
      </c>
      <c r="L405" s="15">
        <v>-1000</v>
      </c>
      <c r="M405" s="10">
        <f t="shared" si="78"/>
        <v>1413.8164465653092</v>
      </c>
      <c r="N405" s="3">
        <f>(DATE(2010,12,3)-D405)/365</f>
        <v>1.9808219178082191</v>
      </c>
      <c r="O405" s="12">
        <f t="shared" si="73"/>
        <v>0.41381644656530919</v>
      </c>
      <c r="P405" s="12">
        <f t="shared" si="74"/>
        <v>0.19103509452974321</v>
      </c>
    </row>
    <row r="406" spans="4:16" x14ac:dyDescent="0.25">
      <c r="D406" s="2">
        <v>39800</v>
      </c>
      <c r="E406" s="13">
        <f t="shared" ca="1" si="72"/>
        <v>41624.248630136986</v>
      </c>
      <c r="F406" s="3">
        <v>89.29</v>
      </c>
      <c r="G406" s="3">
        <f t="shared" si="79"/>
        <v>11.19946242580356</v>
      </c>
      <c r="H406" s="3">
        <v>1</v>
      </c>
      <c r="I406" s="3">
        <f>G406*SUM(R275:R294)</f>
        <v>147.96729756971666</v>
      </c>
      <c r="J406" s="3">
        <v>0</v>
      </c>
      <c r="K406" s="3">
        <f>'Data (ignore)'!$B$1188</f>
        <v>178.13</v>
      </c>
      <c r="L406" s="15">
        <v>-1000</v>
      </c>
      <c r="M406" s="10">
        <f t="shared" si="78"/>
        <v>2142.9275394781048</v>
      </c>
      <c r="N406" s="3">
        <f ca="1">($Z$17-D406)/365</f>
        <v>4.9945205479452053</v>
      </c>
      <c r="O406" s="12">
        <f t="shared" si="73"/>
        <v>1.1429275394781049</v>
      </c>
      <c r="P406" s="12">
        <f t="shared" ca="1" si="74"/>
        <v>0.16486105699027331</v>
      </c>
    </row>
    <row r="407" spans="4:16" x14ac:dyDescent="0.25">
      <c r="D407" s="2">
        <v>39800</v>
      </c>
      <c r="E407" s="13">
        <f t="shared" si="72"/>
        <v>39828.019178082192</v>
      </c>
      <c r="F407" s="3">
        <v>89.29</v>
      </c>
      <c r="G407" s="3">
        <f t="shared" si="79"/>
        <v>11.19946242580356</v>
      </c>
      <c r="H407" s="3">
        <v>1</v>
      </c>
      <c r="I407" s="3">
        <f>G407*R275</f>
        <v>8.0524134841527601</v>
      </c>
      <c r="J407" s="3">
        <v>0</v>
      </c>
      <c r="K407" s="3">
        <v>84.4</v>
      </c>
      <c r="L407" s="15">
        <v>-1000</v>
      </c>
      <c r="M407" s="10">
        <f t="shared" si="78"/>
        <v>953.28704222197337</v>
      </c>
      <c r="N407" s="3">
        <f>(DATE(2009,1,15)-D407)/365</f>
        <v>7.6712328767123292E-2</v>
      </c>
      <c r="O407" s="12">
        <f t="shared" si="73"/>
        <v>-4.6712957778026636E-2</v>
      </c>
      <c r="P407" s="12">
        <f t="shared" si="74"/>
        <v>-0.46399855996026174</v>
      </c>
    </row>
    <row r="408" spans="4:16" x14ac:dyDescent="0.25">
      <c r="D408" s="2">
        <v>39812</v>
      </c>
      <c r="E408" s="13">
        <f t="shared" si="72"/>
        <v>39953.096575342468</v>
      </c>
      <c r="F408" s="3">
        <v>88.97</v>
      </c>
      <c r="G408" s="3">
        <f t="shared" si="79"/>
        <v>11.239743733842868</v>
      </c>
      <c r="H408" s="3">
        <v>1</v>
      </c>
      <c r="I408" s="3">
        <f>G408*R276</f>
        <v>6.3054962346858492</v>
      </c>
      <c r="J408" s="3">
        <v>0</v>
      </c>
      <c r="K408" s="3">
        <v>90.51</v>
      </c>
      <c r="L408" s="15">
        <v>-1000</v>
      </c>
      <c r="M408" s="10">
        <f t="shared" si="78"/>
        <v>1023.6147015848039</v>
      </c>
      <c r="N408" s="3">
        <f>(DATE(2009,5,20)-D408)/365</f>
        <v>0.38630136986301372</v>
      </c>
      <c r="O408" s="12">
        <f t="shared" si="73"/>
        <v>2.3614701584803926E-2</v>
      </c>
      <c r="P408" s="12">
        <f t="shared" si="74"/>
        <v>6.2282223994033492E-2</v>
      </c>
    </row>
    <row r="409" spans="4:16" x14ac:dyDescent="0.25">
      <c r="D409" s="2">
        <v>39855</v>
      </c>
      <c r="E409" s="13">
        <f t="shared" ca="1" si="72"/>
        <v>41624.210958904107</v>
      </c>
      <c r="F409" s="3">
        <v>83.6</v>
      </c>
      <c r="G409" s="3">
        <f t="shared" si="79"/>
        <v>11.961722488038278</v>
      </c>
      <c r="H409" s="3">
        <v>1</v>
      </c>
      <c r="I409" s="3">
        <f>G409*SUM(R276:R294)</f>
        <v>149.4377990430622</v>
      </c>
      <c r="J409" s="3">
        <v>0</v>
      </c>
      <c r="K409" s="3">
        <f>'Data (ignore)'!$B$1188</f>
        <v>178.13</v>
      </c>
      <c r="L409" s="15">
        <v>-1000</v>
      </c>
      <c r="M409" s="10">
        <f t="shared" si="78"/>
        <v>2280.1794258373207</v>
      </c>
      <c r="N409" s="3">
        <f ca="1">($Z$17-D409)/365</f>
        <v>4.8438356164383558</v>
      </c>
      <c r="O409" s="12">
        <f t="shared" si="73"/>
        <v>1.2801794258373207</v>
      </c>
      <c r="P409" s="12">
        <f t="shared" ca="1" si="74"/>
        <v>0.18550113972496041</v>
      </c>
    </row>
    <row r="410" spans="4:16" x14ac:dyDescent="0.25">
      <c r="D410" s="2">
        <v>39855</v>
      </c>
      <c r="E410" s="13">
        <f t="shared" ca="1" si="72"/>
        <v>41624.210958904107</v>
      </c>
      <c r="F410" s="3">
        <v>83.6</v>
      </c>
      <c r="G410" s="3">
        <f t="shared" si="79"/>
        <v>11.961722488038278</v>
      </c>
      <c r="H410" s="3">
        <v>1</v>
      </c>
      <c r="I410" s="3">
        <f>G410*SUM(R276:R294)</f>
        <v>149.4377990430622</v>
      </c>
      <c r="J410" s="3">
        <v>0</v>
      </c>
      <c r="K410" s="3">
        <f>'Data (ignore)'!$B$1188</f>
        <v>178.13</v>
      </c>
      <c r="L410" s="15">
        <v>-1000</v>
      </c>
      <c r="M410" s="10">
        <f t="shared" si="78"/>
        <v>2280.1794258373207</v>
      </c>
      <c r="N410" s="3">
        <f ca="1">($Z$17-D410)/365</f>
        <v>4.8438356164383558</v>
      </c>
      <c r="O410" s="12">
        <f t="shared" si="73"/>
        <v>1.2801794258373207</v>
      </c>
      <c r="P410" s="12">
        <f t="shared" ca="1" si="74"/>
        <v>0.18550113972496041</v>
      </c>
    </row>
    <row r="411" spans="4:16" x14ac:dyDescent="0.25">
      <c r="D411" s="2">
        <v>39874</v>
      </c>
      <c r="E411" s="13">
        <f t="shared" ca="1" si="72"/>
        <v>41624.19794520548</v>
      </c>
      <c r="F411" s="3">
        <v>70.599999999999994</v>
      </c>
      <c r="G411" s="3">
        <f t="shared" si="79"/>
        <v>14.164305949008499</v>
      </c>
      <c r="H411" s="3">
        <v>1</v>
      </c>
      <c r="I411" s="3">
        <f>G411*SUM(R276:R294)</f>
        <v>176.95467422096317</v>
      </c>
      <c r="J411" s="3">
        <v>0</v>
      </c>
      <c r="K411" s="3">
        <f>'Data (ignore)'!$B$1188</f>
        <v>178.13</v>
      </c>
      <c r="L411" s="15">
        <v>-1000</v>
      </c>
      <c r="M411" s="10">
        <f t="shared" si="78"/>
        <v>2700.0424929178471</v>
      </c>
      <c r="N411" s="3">
        <f ca="1">($Z$17-D411)/365</f>
        <v>4.7917808219178086</v>
      </c>
      <c r="O411" s="12">
        <f t="shared" si="73"/>
        <v>1.700042492917847</v>
      </c>
      <c r="P411" s="12">
        <f t="shared" ca="1" si="74"/>
        <v>0.23033399439135271</v>
      </c>
    </row>
    <row r="412" spans="4:16" x14ac:dyDescent="0.25">
      <c r="D412" s="2">
        <v>39884</v>
      </c>
      <c r="E412" s="13">
        <f t="shared" ca="1" si="72"/>
        <v>40768.605479452053</v>
      </c>
      <c r="F412" s="3">
        <v>75.5</v>
      </c>
      <c r="G412" s="3">
        <f t="shared" si="79"/>
        <v>13.245033112582782</v>
      </c>
      <c r="H412" s="3">
        <v>1</v>
      </c>
      <c r="I412" s="3">
        <f>G412/2*SUM(R278:R292)</f>
        <v>64.483443708609258</v>
      </c>
      <c r="J412" s="3">
        <v>0</v>
      </c>
      <c r="K412" s="3">
        <f>'Data (ignore)'!$B$1188</f>
        <v>178.13</v>
      </c>
      <c r="L412" s="15">
        <v>-1000</v>
      </c>
      <c r="M412" s="10">
        <f>G412/2*85.83+G412/2*156.75+I412</f>
        <v>1670.9735099337749</v>
      </c>
      <c r="N412" s="3">
        <f ca="1">((DATE(2009,4,10)/2+$Z$17/2)-D412)/365</f>
        <v>2.4219178082191779</v>
      </c>
      <c r="O412" s="12">
        <f t="shared" si="73"/>
        <v>0.67097350993377491</v>
      </c>
      <c r="P412" s="12">
        <f t="shared" ca="1" si="74"/>
        <v>0.23612737803454786</v>
      </c>
    </row>
    <row r="413" spans="4:16" x14ac:dyDescent="0.25">
      <c r="D413" s="2">
        <v>39884</v>
      </c>
      <c r="E413" s="13">
        <f t="shared" ca="1" si="72"/>
        <v>40768.605479452053</v>
      </c>
      <c r="F413" s="3">
        <v>75.5</v>
      </c>
      <c r="G413" s="3">
        <f t="shared" si="79"/>
        <v>13.245033112582782</v>
      </c>
      <c r="H413" s="3">
        <v>1</v>
      </c>
      <c r="I413" s="3">
        <f>G413/2*SUM(R278:R292)</f>
        <v>64.483443708609258</v>
      </c>
      <c r="J413" s="3">
        <v>0</v>
      </c>
      <c r="K413" s="3">
        <f>'Data (ignore)'!$B$1188</f>
        <v>178.13</v>
      </c>
      <c r="L413" s="15">
        <v>-1000</v>
      </c>
      <c r="M413" s="10">
        <f>G413/2*85.83+G413/2*156.75+I413</f>
        <v>1670.9735099337749</v>
      </c>
      <c r="N413" s="3">
        <f ca="1">((DATE(2009,4,10)/2+$Z$17/2)-D413)/365</f>
        <v>2.4219178082191779</v>
      </c>
      <c r="O413" s="12">
        <f t="shared" si="73"/>
        <v>0.67097350993377491</v>
      </c>
      <c r="P413" s="12">
        <f t="shared" ca="1" si="74"/>
        <v>0.23612737803454786</v>
      </c>
    </row>
    <row r="414" spans="4:16" x14ac:dyDescent="0.25">
      <c r="D414" s="2">
        <v>39911</v>
      </c>
      <c r="E414" s="13">
        <f t="shared" si="72"/>
        <v>40093.374828767126</v>
      </c>
      <c r="F414" s="3">
        <v>82.53</v>
      </c>
      <c r="G414" s="3">
        <f t="shared" si="79"/>
        <v>12.116806009935781</v>
      </c>
      <c r="H414" s="3">
        <v>1</v>
      </c>
      <c r="I414" s="3">
        <f>G414/2*R277+G414/4*SUM(R277:R278)+G414/4*SUM(R277:R280)</f>
        <v>12.595419847328245</v>
      </c>
      <c r="J414" s="3">
        <v>0</v>
      </c>
      <c r="K414" s="3">
        <v>119.81</v>
      </c>
      <c r="L414" s="15">
        <v>-1000</v>
      </c>
      <c r="M414" s="10">
        <f>G414/2*94.85+G414/4*106.61+G414/4*119.81+I414</f>
        <v>1273.1067490609475</v>
      </c>
      <c r="N414" s="3">
        <f>((DATE(2009,7,2)/2+DATE(2009,10,8)/4+DATE(2010,4,19)/4)-D414)/365</f>
        <v>0.49931506849315066</v>
      </c>
      <c r="O414" s="12">
        <f t="shared" si="73"/>
        <v>0.27310674906094756</v>
      </c>
      <c r="P414" s="12">
        <f t="shared" si="74"/>
        <v>0.62187483701240365</v>
      </c>
    </row>
    <row r="415" spans="4:16" x14ac:dyDescent="0.25">
      <c r="D415" s="2">
        <v>39923</v>
      </c>
      <c r="E415" s="13">
        <f t="shared" si="72"/>
        <v>39988.044520547948</v>
      </c>
      <c r="F415" s="3">
        <v>83.43</v>
      </c>
      <c r="G415" s="3">
        <f t="shared" si="79"/>
        <v>11.986096128490949</v>
      </c>
      <c r="H415" s="3">
        <v>1</v>
      </c>
      <c r="I415" s="3">
        <f>G415*R277</f>
        <v>6.2087977945583122</v>
      </c>
      <c r="J415" s="3">
        <v>0</v>
      </c>
      <c r="K415" s="3">
        <v>90.12</v>
      </c>
      <c r="L415" s="15">
        <v>-1000</v>
      </c>
      <c r="M415" s="10">
        <f t="shared" ref="M415:M425" si="80">G415*H415*K415+(I415)+(J415)</f>
        <v>1086.3957808941627</v>
      </c>
      <c r="N415" s="3">
        <f>(DATE(2009,6,24)-D415)/365</f>
        <v>0.17808219178082191</v>
      </c>
      <c r="O415" s="12">
        <f t="shared" si="73"/>
        <v>8.6395780894162721E-2</v>
      </c>
      <c r="P415" s="12">
        <f t="shared" si="74"/>
        <v>0.59252719157459421</v>
      </c>
    </row>
    <row r="416" spans="4:16" x14ac:dyDescent="0.25">
      <c r="D416" s="2">
        <v>39975</v>
      </c>
      <c r="E416" s="13">
        <f t="shared" si="72"/>
        <v>40022.032191780825</v>
      </c>
      <c r="F416" s="3">
        <v>94.82</v>
      </c>
      <c r="G416" s="3">
        <f t="shared" si="79"/>
        <v>10.546298249314491</v>
      </c>
      <c r="H416" s="3">
        <v>1</v>
      </c>
      <c r="I416" s="3">
        <f>G416*R277</f>
        <v>5.4629824931449065</v>
      </c>
      <c r="J416" s="3">
        <v>0</v>
      </c>
      <c r="K416" s="3">
        <v>92.7</v>
      </c>
      <c r="L416" s="15">
        <v>-1000</v>
      </c>
      <c r="M416" s="10">
        <f t="shared" si="80"/>
        <v>983.10483020459822</v>
      </c>
      <c r="N416" s="3">
        <f>(DATE(2009,7,28)-D416)/365</f>
        <v>0.12876712328767123</v>
      </c>
      <c r="O416" s="12">
        <f t="shared" si="73"/>
        <v>-1.6895169795401784E-2</v>
      </c>
      <c r="P416" s="12">
        <f t="shared" si="74"/>
        <v>-0.1239465710681833</v>
      </c>
    </row>
    <row r="417" spans="4:16" x14ac:dyDescent="0.25">
      <c r="D417" s="2">
        <v>40014</v>
      </c>
      <c r="E417" s="13">
        <f t="shared" ca="1" si="72"/>
        <v>41624.102054794523</v>
      </c>
      <c r="F417" s="3">
        <v>95.13</v>
      </c>
      <c r="G417" s="3">
        <f t="shared" si="79"/>
        <v>10.511931041732367</v>
      </c>
      <c r="H417" s="3">
        <v>1</v>
      </c>
      <c r="I417" s="3">
        <f>G417*SUM(R278:R294)</f>
        <v>119.98318091033322</v>
      </c>
      <c r="J417" s="3">
        <v>0</v>
      </c>
      <c r="K417" s="3">
        <f>'Data (ignore)'!$B$1188</f>
        <v>178.13</v>
      </c>
      <c r="L417" s="15">
        <v>-1000</v>
      </c>
      <c r="M417" s="10">
        <f t="shared" si="80"/>
        <v>1992.4734573741198</v>
      </c>
      <c r="N417" s="3">
        <f ca="1">($Z$17-D417)/365</f>
        <v>4.4082191780821915</v>
      </c>
      <c r="O417" s="12">
        <f t="shared" si="73"/>
        <v>0.99247345737411974</v>
      </c>
      <c r="P417" s="12">
        <f t="shared" ca="1" si="74"/>
        <v>0.16927561253254497</v>
      </c>
    </row>
    <row r="418" spans="4:16" x14ac:dyDescent="0.25">
      <c r="D418" s="2">
        <v>40016</v>
      </c>
      <c r="E418" s="13">
        <f t="shared" si="72"/>
        <v>40101.058219178085</v>
      </c>
      <c r="F418" s="3">
        <v>95.55</v>
      </c>
      <c r="G418" s="3">
        <f t="shared" si="79"/>
        <v>10.465724751439037</v>
      </c>
      <c r="H418" s="3">
        <v>1</v>
      </c>
      <c r="I418" s="3">
        <f>G418*R278</f>
        <v>5.3165881737310308</v>
      </c>
      <c r="J418" s="3">
        <v>0</v>
      </c>
      <c r="K418" s="3">
        <v>109.71</v>
      </c>
      <c r="L418" s="15">
        <v>-1000</v>
      </c>
      <c r="M418" s="10">
        <f t="shared" si="80"/>
        <v>1153.5112506541079</v>
      </c>
      <c r="N418" s="3">
        <f>(DATE(2009,10,15)-D418)/365</f>
        <v>0.23287671232876711</v>
      </c>
      <c r="O418" s="12">
        <f t="shared" si="73"/>
        <v>0.15351125065410792</v>
      </c>
      <c r="P418" s="12">
        <f t="shared" si="74"/>
        <v>0.84641387487777586</v>
      </c>
    </row>
    <row r="419" spans="4:16" x14ac:dyDescent="0.25">
      <c r="D419" s="2">
        <v>40030</v>
      </c>
      <c r="E419" s="13">
        <f t="shared" si="72"/>
        <v>40429.273287671233</v>
      </c>
      <c r="F419" s="3">
        <v>100.41</v>
      </c>
      <c r="G419" s="3">
        <f t="shared" si="79"/>
        <v>9.9591674136042236</v>
      </c>
      <c r="H419" s="3">
        <v>1</v>
      </c>
      <c r="I419" s="3">
        <f>G419*SUM(R278:R281)</f>
        <v>21.003884075291307</v>
      </c>
      <c r="J419" s="3">
        <v>0</v>
      </c>
      <c r="K419" s="3">
        <v>110.41</v>
      </c>
      <c r="L419" s="15">
        <v>-1000</v>
      </c>
      <c r="M419" s="10">
        <f t="shared" si="80"/>
        <v>1120.5955582113336</v>
      </c>
      <c r="N419" s="3">
        <f>(DATE(2010,9,8)-D419)/365</f>
        <v>1.0931506849315069</v>
      </c>
      <c r="O419" s="12">
        <f t="shared" si="73"/>
        <v>0.12059555821133358</v>
      </c>
      <c r="P419" s="12">
        <f t="shared" si="74"/>
        <v>0.10977568750899169</v>
      </c>
    </row>
    <row r="420" spans="4:16" x14ac:dyDescent="0.25">
      <c r="D420" s="2">
        <v>40030</v>
      </c>
      <c r="E420" s="13">
        <f t="shared" si="72"/>
        <v>40379.239041095891</v>
      </c>
      <c r="F420" s="3">
        <v>100.41</v>
      </c>
      <c r="G420" s="3">
        <f t="shared" si="79"/>
        <v>9.9591674136042236</v>
      </c>
      <c r="H420" s="3">
        <v>1</v>
      </c>
      <c r="I420" s="3">
        <f>G420*SUM(R278:R281)</f>
        <v>21.003884075291307</v>
      </c>
      <c r="J420" s="3">
        <v>0</v>
      </c>
      <c r="K420" s="3">
        <v>108.48</v>
      </c>
      <c r="L420" s="15">
        <v>-1000</v>
      </c>
      <c r="M420" s="10">
        <f t="shared" si="80"/>
        <v>1101.3743651030775</v>
      </c>
      <c r="N420" s="3">
        <f>(DATE(2010,7,20)-D420)/365</f>
        <v>0.95616438356164379</v>
      </c>
      <c r="O420" s="12">
        <f t="shared" si="73"/>
        <v>0.10137436510307749</v>
      </c>
      <c r="P420" s="12">
        <f t="shared" si="74"/>
        <v>0.10626069850571884</v>
      </c>
    </row>
    <row r="421" spans="4:16" x14ac:dyDescent="0.25">
      <c r="D421" s="2">
        <v>40087</v>
      </c>
      <c r="E421" s="13">
        <f t="shared" ca="1" si="72"/>
        <v>41624.05205479452</v>
      </c>
      <c r="F421" s="3">
        <v>102.97</v>
      </c>
      <c r="G421" s="3">
        <f t="shared" si="79"/>
        <v>9.7115664756725266</v>
      </c>
      <c r="H421" s="3">
        <v>1</v>
      </c>
      <c r="I421" s="3">
        <f>G421*SUM(R279:R294)</f>
        <v>105.91434398368456</v>
      </c>
      <c r="J421" s="3">
        <v>0</v>
      </c>
      <c r="K421" s="3">
        <f>'Data (ignore)'!$B$1188</f>
        <v>178.13</v>
      </c>
      <c r="L421" s="15">
        <v>-1000</v>
      </c>
      <c r="M421" s="10">
        <f t="shared" si="80"/>
        <v>1835.8356802952317</v>
      </c>
      <c r="N421" s="3">
        <f ca="1">($Z$17-D421)/365</f>
        <v>4.2082191780821914</v>
      </c>
      <c r="O421" s="12">
        <f>(M421-1000)/1000</f>
        <v>0.8358356802952317</v>
      </c>
      <c r="P421" s="12">
        <f ca="1">(M421/1000)^(1/N421)-1</f>
        <v>0.15530029000459944</v>
      </c>
    </row>
    <row r="422" spans="4:16" x14ac:dyDescent="0.25">
      <c r="D422" s="2">
        <v>40099</v>
      </c>
      <c r="E422" s="13">
        <f t="shared" ca="1" si="72"/>
        <v>41624.043835616438</v>
      </c>
      <c r="F422" s="3">
        <v>107.46</v>
      </c>
      <c r="G422" s="3">
        <f t="shared" si="79"/>
        <v>9.3057882002605634</v>
      </c>
      <c r="H422" s="3">
        <v>1</v>
      </c>
      <c r="I422" s="3">
        <f>G422*SUM(R279:R294)</f>
        <v>101.4889261120417</v>
      </c>
      <c r="J422" s="3">
        <v>0</v>
      </c>
      <c r="K422" s="3">
        <f>'Data (ignore)'!$B$1188</f>
        <v>178.13</v>
      </c>
      <c r="L422" s="15">
        <v>-1000</v>
      </c>
      <c r="M422" s="10">
        <f t="shared" si="80"/>
        <v>1759.128978224456</v>
      </c>
      <c r="N422" s="3">
        <f ca="1">($Z$17-D422)/365</f>
        <v>4.1753424657534248</v>
      </c>
      <c r="O422" s="12">
        <f>(M422-1000)/1000</f>
        <v>0.75912897822445602</v>
      </c>
      <c r="P422" s="12">
        <f ca="1">(M422/1000)^(1/N422)-1</f>
        <v>0.14485139311753237</v>
      </c>
    </row>
    <row r="423" spans="4:16" x14ac:dyDescent="0.25">
      <c r="D423" s="2">
        <v>40105</v>
      </c>
      <c r="E423" s="13">
        <f t="shared" ca="1" si="72"/>
        <v>41624.039726027397</v>
      </c>
      <c r="F423" s="3">
        <v>109.79</v>
      </c>
      <c r="G423" s="3">
        <f t="shared" si="79"/>
        <v>9.1082976591675013</v>
      </c>
      <c r="H423" s="3">
        <v>1</v>
      </c>
      <c r="I423" s="3">
        <f>G423*SUM(R279:R294)</f>
        <v>99.335094270880759</v>
      </c>
      <c r="J423" s="3">
        <v>0</v>
      </c>
      <c r="K423" s="3">
        <f>'Data (ignore)'!$B$1188</f>
        <v>178.13</v>
      </c>
      <c r="L423" s="15">
        <v>-1000</v>
      </c>
      <c r="M423" s="10">
        <f t="shared" si="80"/>
        <v>1721.7961562983878</v>
      </c>
      <c r="N423" s="3">
        <f ca="1">($Z$17-D423)/365</f>
        <v>4.1589041095890407</v>
      </c>
      <c r="O423" s="12">
        <f>(M423-1000)/1000</f>
        <v>0.72179615629838778</v>
      </c>
      <c r="P423" s="12">
        <f ca="1">(M423/1000)^(1/N423)-1</f>
        <v>0.13957083551515193</v>
      </c>
    </row>
    <row r="424" spans="4:16" x14ac:dyDescent="0.25">
      <c r="D424" s="2">
        <v>40115</v>
      </c>
      <c r="E424" s="13">
        <f t="shared" si="72"/>
        <v>40186.048630136989</v>
      </c>
      <c r="F424" s="3">
        <v>106.65</v>
      </c>
      <c r="G424" s="3">
        <f t="shared" si="79"/>
        <v>9.3764650726676031</v>
      </c>
      <c r="H424" s="3">
        <v>1</v>
      </c>
      <c r="I424" s="3">
        <f>G424*R279</f>
        <v>5.5321143928738854</v>
      </c>
      <c r="J424" s="3">
        <v>0</v>
      </c>
      <c r="K424" s="3">
        <v>114.57</v>
      </c>
      <c r="L424" s="15">
        <v>-1000</v>
      </c>
      <c r="M424" s="10">
        <f t="shared" si="80"/>
        <v>1079.7937177684012</v>
      </c>
      <c r="N424" s="3">
        <f>(DATE(2010,1,8)-D424)/365</f>
        <v>0.19452054794520549</v>
      </c>
      <c r="O424" s="12">
        <f t="shared" ref="O424:O480" si="81">(M424-1000)/1000</f>
        <v>7.9793717768401162E-2</v>
      </c>
      <c r="P424" s="12">
        <f t="shared" ref="P424:P480" si="82">(M424/1000)^(1/N424)-1</f>
        <v>0.48388371590845236</v>
      </c>
    </row>
    <row r="425" spans="4:16" x14ac:dyDescent="0.25">
      <c r="D425" s="2">
        <v>40115</v>
      </c>
      <c r="E425" s="13">
        <f t="shared" ca="1" si="72"/>
        <v>41624.032876712328</v>
      </c>
      <c r="F425" s="3">
        <v>106.65</v>
      </c>
      <c r="G425" s="3">
        <f t="shared" si="79"/>
        <v>9.3764650726676031</v>
      </c>
      <c r="H425" s="3">
        <v>1</v>
      </c>
      <c r="I425" s="3">
        <f>G425*SUM(R279:R294)</f>
        <v>102.25972808251286</v>
      </c>
      <c r="J425" s="3">
        <v>0</v>
      </c>
      <c r="K425" s="3">
        <f>'Data (ignore)'!$B$1188</f>
        <v>178.13</v>
      </c>
      <c r="L425" s="15">
        <v>-1000</v>
      </c>
      <c r="M425" s="10">
        <f t="shared" si="80"/>
        <v>1772.489451476793</v>
      </c>
      <c r="N425" s="3">
        <f ca="1">($Z$17-D425)/365</f>
        <v>4.1315068493150688</v>
      </c>
      <c r="O425" s="12">
        <f t="shared" si="81"/>
        <v>0.77248945147679293</v>
      </c>
      <c r="P425" s="12">
        <f t="shared" ca="1" si="82"/>
        <v>0.148597311794197</v>
      </c>
    </row>
    <row r="426" spans="4:16" x14ac:dyDescent="0.25">
      <c r="D426" s="2">
        <v>40115</v>
      </c>
      <c r="E426" s="13">
        <f t="shared" si="72"/>
        <v>40548.79691780822</v>
      </c>
      <c r="F426" s="3">
        <v>106.65</v>
      </c>
      <c r="G426" s="3">
        <f t="shared" si="79"/>
        <v>9.3764650726676031</v>
      </c>
      <c r="H426" s="3">
        <v>1</v>
      </c>
      <c r="I426" s="3">
        <f>G426/2*SUM(R279:R282)+G426/2*SUM(R279:R283)</f>
        <v>23.7177684013127</v>
      </c>
      <c r="J426" s="3">
        <v>0</v>
      </c>
      <c r="K426" s="3">
        <v>1.94</v>
      </c>
      <c r="L426" s="15">
        <v>-1000</v>
      </c>
      <c r="M426" s="10">
        <f>G426/2*118.45+G426/2*134.53+I426</f>
        <v>1209.746835443038</v>
      </c>
      <c r="N426" s="3">
        <f>((DATE(2010,11,23)/2+DATE(2011,2,18)/2)-D426)/365</f>
        <v>1.1876712328767123</v>
      </c>
      <c r="O426" s="12">
        <f t="shared" si="81"/>
        <v>0.20974683544303799</v>
      </c>
      <c r="P426" s="12">
        <f t="shared" si="82"/>
        <v>0.17389007085695929</v>
      </c>
    </row>
    <row r="427" spans="4:16" x14ac:dyDescent="0.25">
      <c r="D427" s="2">
        <v>40116</v>
      </c>
      <c r="E427" s="13">
        <f t="shared" ca="1" si="72"/>
        <v>41624.032191780825</v>
      </c>
      <c r="F427" s="3">
        <v>103.56</v>
      </c>
      <c r="G427" s="3">
        <f t="shared" si="79"/>
        <v>9.6562379297025878</v>
      </c>
      <c r="H427" s="3">
        <v>1</v>
      </c>
      <c r="I427" s="3">
        <f>G427*SUM(R279:R294)</f>
        <v>105.31093086133642</v>
      </c>
      <c r="J427" s="3">
        <v>0</v>
      </c>
      <c r="K427" s="3">
        <f>'Data (ignore)'!$B$1188</f>
        <v>178.13</v>
      </c>
      <c r="L427" s="15">
        <v>-1000</v>
      </c>
      <c r="M427" s="10">
        <f t="shared" ref="M427:M433" si="83">G427*H427*K427+(I427)+(J427)</f>
        <v>1825.3765932792583</v>
      </c>
      <c r="N427" s="3">
        <f t="shared" ref="N427:N433" ca="1" si="84">($Z$17-D427)/365</f>
        <v>4.1287671232876715</v>
      </c>
      <c r="O427" s="12">
        <f t="shared" si="81"/>
        <v>0.82537659327925827</v>
      </c>
      <c r="P427" s="12">
        <f t="shared" ca="1" si="82"/>
        <v>0.15691211179764175</v>
      </c>
    </row>
    <row r="428" spans="4:16" x14ac:dyDescent="0.25">
      <c r="D428" s="2">
        <v>40119</v>
      </c>
      <c r="E428" s="13">
        <f t="shared" ca="1" si="72"/>
        <v>41624.030136986301</v>
      </c>
      <c r="F428" s="3">
        <v>104.65</v>
      </c>
      <c r="G428" s="3">
        <f t="shared" si="79"/>
        <v>9.5556617295747728</v>
      </c>
      <c r="H428" s="3">
        <v>1</v>
      </c>
      <c r="I428" s="3">
        <f>G428*SUM(R279:R294)</f>
        <v>104.21404682274246</v>
      </c>
      <c r="J428" s="3">
        <v>0</v>
      </c>
      <c r="K428" s="3">
        <f>'Data (ignore)'!$B$1188</f>
        <v>178.13</v>
      </c>
      <c r="L428" s="15">
        <v>-1000</v>
      </c>
      <c r="M428" s="10">
        <f t="shared" si="83"/>
        <v>1806.3640707118966</v>
      </c>
      <c r="N428" s="3">
        <f t="shared" ca="1" si="84"/>
        <v>4.1205479452054794</v>
      </c>
      <c r="O428" s="12">
        <f t="shared" si="81"/>
        <v>0.80636407071189664</v>
      </c>
      <c r="P428" s="12">
        <f t="shared" ca="1" si="82"/>
        <v>0.15431168349659741</v>
      </c>
    </row>
    <row r="429" spans="4:16" x14ac:dyDescent="0.25">
      <c r="D429" s="2">
        <v>40137</v>
      </c>
      <c r="E429" s="13">
        <f t="shared" ca="1" si="72"/>
        <v>41624.017808219178</v>
      </c>
      <c r="F429" s="3">
        <v>109.43</v>
      </c>
      <c r="G429" s="3">
        <f t="shared" si="79"/>
        <v>9.1382619025861267</v>
      </c>
      <c r="H429" s="3">
        <v>1</v>
      </c>
      <c r="I429" s="3">
        <f>G429*SUM(R279:R294)</f>
        <v>99.661884309604289</v>
      </c>
      <c r="J429" s="3">
        <v>0</v>
      </c>
      <c r="K429" s="3">
        <f>'Data (ignore)'!$B$1188</f>
        <v>178.13</v>
      </c>
      <c r="L429" s="15">
        <v>-1000</v>
      </c>
      <c r="M429" s="10">
        <f t="shared" si="83"/>
        <v>1727.4604770172712</v>
      </c>
      <c r="N429" s="3">
        <f t="shared" ca="1" si="84"/>
        <v>4.0712328767123287</v>
      </c>
      <c r="O429" s="12">
        <f t="shared" si="81"/>
        <v>0.72746047701727112</v>
      </c>
      <c r="P429" s="12">
        <f t="shared" ca="1" si="82"/>
        <v>0.14370381334341165</v>
      </c>
    </row>
    <row r="430" spans="4:16" x14ac:dyDescent="0.25">
      <c r="D430" s="2">
        <v>40150</v>
      </c>
      <c r="E430" s="13">
        <f t="shared" ca="1" si="72"/>
        <v>41624.008904109593</v>
      </c>
      <c r="F430" s="3">
        <v>110.38</v>
      </c>
      <c r="G430" s="3">
        <f t="shared" si="79"/>
        <v>9.0596122485957604</v>
      </c>
      <c r="H430" s="3">
        <v>1</v>
      </c>
      <c r="I430" s="3">
        <f>G430*SUM(R279:R294)</f>
        <v>98.804131183185348</v>
      </c>
      <c r="J430" s="3">
        <v>0</v>
      </c>
      <c r="K430" s="3">
        <f>'Data (ignore)'!$B$1188</f>
        <v>178.13</v>
      </c>
      <c r="L430" s="15">
        <v>-1000</v>
      </c>
      <c r="M430" s="10">
        <f t="shared" si="83"/>
        <v>1712.592861025548</v>
      </c>
      <c r="N430" s="3">
        <f t="shared" ca="1" si="84"/>
        <v>4.0356164383561648</v>
      </c>
      <c r="O430" s="12">
        <f t="shared" si="81"/>
        <v>0.71259286102554797</v>
      </c>
      <c r="P430" s="12">
        <f t="shared" ca="1" si="82"/>
        <v>0.14260995141964505</v>
      </c>
    </row>
    <row r="431" spans="4:16" x14ac:dyDescent="0.25">
      <c r="D431" s="2">
        <v>40199</v>
      </c>
      <c r="E431" s="13">
        <f t="shared" ca="1" si="72"/>
        <v>41623.975342465754</v>
      </c>
      <c r="F431" s="3">
        <v>111.7</v>
      </c>
      <c r="G431" s="3">
        <f t="shared" si="79"/>
        <v>8.952551477170994</v>
      </c>
      <c r="H431" s="3">
        <v>1</v>
      </c>
      <c r="I431" s="3">
        <f>G431*SUM(R280:R294)</f>
        <v>92.35452103849596</v>
      </c>
      <c r="J431" s="3">
        <v>0</v>
      </c>
      <c r="K431" s="3">
        <f>'Data (ignore)'!$B$1188</f>
        <v>178.13</v>
      </c>
      <c r="L431" s="15">
        <v>-1000</v>
      </c>
      <c r="M431" s="10">
        <f t="shared" si="83"/>
        <v>1687.072515666965</v>
      </c>
      <c r="N431" s="3">
        <f t="shared" ca="1" si="84"/>
        <v>3.9013698630136986</v>
      </c>
      <c r="O431" s="12">
        <f t="shared" si="81"/>
        <v>0.68707251566696503</v>
      </c>
      <c r="P431" s="12">
        <f t="shared" ca="1" si="82"/>
        <v>0.14345472631202494</v>
      </c>
    </row>
    <row r="432" spans="4:16" x14ac:dyDescent="0.25">
      <c r="D432" s="2">
        <v>40231</v>
      </c>
      <c r="E432" s="13">
        <f t="shared" ca="1" si="72"/>
        <v>41623.953424657535</v>
      </c>
      <c r="F432" s="3">
        <v>111.16</v>
      </c>
      <c r="G432" s="3">
        <f t="shared" si="79"/>
        <v>8.9960417416336806</v>
      </c>
      <c r="H432" s="3">
        <v>1</v>
      </c>
      <c r="I432" s="3">
        <f>G432*SUM(R280:R294)</f>
        <v>92.80316660669304</v>
      </c>
      <c r="J432" s="3">
        <v>0</v>
      </c>
      <c r="K432" s="3">
        <f>'Data (ignore)'!$B$1188</f>
        <v>178.13</v>
      </c>
      <c r="L432" s="15">
        <v>-1000</v>
      </c>
      <c r="M432" s="10">
        <f t="shared" si="83"/>
        <v>1695.2680820439007</v>
      </c>
      <c r="N432" s="3">
        <f t="shared" ca="1" si="84"/>
        <v>3.8136986301369862</v>
      </c>
      <c r="O432" s="12">
        <f t="shared" si="81"/>
        <v>0.69526808204390067</v>
      </c>
      <c r="P432" s="12">
        <f t="shared" ca="1" si="82"/>
        <v>0.14844236024477198</v>
      </c>
    </row>
    <row r="433" spans="4:16" x14ac:dyDescent="0.25">
      <c r="D433" s="2">
        <v>40233</v>
      </c>
      <c r="E433" s="13">
        <f t="shared" ref="E433:E496" ca="1" si="85">D433+(365.25*N433)</f>
        <v>41623.952054794521</v>
      </c>
      <c r="F433" s="3">
        <v>110.82</v>
      </c>
      <c r="G433" s="3">
        <f t="shared" si="79"/>
        <v>9.023641941887746</v>
      </c>
      <c r="H433" s="3">
        <v>1</v>
      </c>
      <c r="I433" s="3">
        <f>G433*SUM(R280:R294)</f>
        <v>93.087890272513974</v>
      </c>
      <c r="J433" s="3">
        <v>0</v>
      </c>
      <c r="K433" s="3">
        <f>'Data (ignore)'!$B$1188</f>
        <v>178.13</v>
      </c>
      <c r="L433" s="15">
        <v>-1000</v>
      </c>
      <c r="M433" s="10">
        <f t="shared" si="83"/>
        <v>1700.469229380978</v>
      </c>
      <c r="N433" s="3">
        <f t="shared" ca="1" si="84"/>
        <v>3.8082191780821919</v>
      </c>
      <c r="O433" s="12">
        <f t="shared" si="81"/>
        <v>0.700469229380978</v>
      </c>
      <c r="P433" s="12">
        <f t="shared" ca="1" si="82"/>
        <v>0.14959545661339724</v>
      </c>
    </row>
    <row r="434" spans="4:16" x14ac:dyDescent="0.25">
      <c r="D434" s="2">
        <v>40235</v>
      </c>
      <c r="E434" s="13">
        <f t="shared" ca="1" si="85"/>
        <v>41011.531506849315</v>
      </c>
      <c r="F434" s="3">
        <v>110.74</v>
      </c>
      <c r="G434" s="3">
        <f t="shared" si="79"/>
        <v>9.0301607368611165</v>
      </c>
      <c r="H434" s="3">
        <v>1</v>
      </c>
      <c r="I434" s="3">
        <f>G434/2*SUM(R280:R292)+G434/2*SUM(R280:R281)</f>
        <v>43.570525555354884</v>
      </c>
      <c r="J434" s="3">
        <v>0</v>
      </c>
      <c r="K434" s="3">
        <f>'Data (ignore)'!$B$1188</f>
        <v>178.13</v>
      </c>
      <c r="L434" s="15">
        <v>-1000</v>
      </c>
      <c r="M434" s="10">
        <f>G434/2*112.99+G434/2*K434+I434</f>
        <v>1358.000722412859</v>
      </c>
      <c r="N434" s="3">
        <f ca="1">($Z$17/2+DATE(2010,8,9)/2-D434)/365</f>
        <v>2.1260273972602741</v>
      </c>
      <c r="O434" s="12">
        <f t="shared" si="81"/>
        <v>0.35800072241285896</v>
      </c>
      <c r="P434" s="12">
        <f t="shared" ca="1" si="82"/>
        <v>0.15481111174326578</v>
      </c>
    </row>
    <row r="435" spans="4:16" x14ac:dyDescent="0.25">
      <c r="D435" s="2">
        <v>40247</v>
      </c>
      <c r="E435" s="13">
        <f t="shared" ca="1" si="85"/>
        <v>41623.942465753425</v>
      </c>
      <c r="F435" s="3">
        <v>114.97</v>
      </c>
      <c r="G435" s="3">
        <f t="shared" si="79"/>
        <v>8.6979211968339563</v>
      </c>
      <c r="H435" s="3">
        <v>1</v>
      </c>
      <c r="I435" s="3">
        <f>G435*SUM(R280:R294)</f>
        <v>89.727755066539089</v>
      </c>
      <c r="J435" s="3">
        <v>0</v>
      </c>
      <c r="K435" s="3">
        <f>'Data (ignore)'!$B$1188</f>
        <v>178.13</v>
      </c>
      <c r="L435" s="15">
        <v>-1000</v>
      </c>
      <c r="M435" s="10">
        <f>G435*H435*K435+(I435)+(J435)</f>
        <v>1639.0884578585715</v>
      </c>
      <c r="N435" s="3">
        <f ca="1">($Z$17-D435)/365</f>
        <v>3.7698630136986302</v>
      </c>
      <c r="O435" s="12">
        <f t="shared" si="81"/>
        <v>0.63908845785857149</v>
      </c>
      <c r="P435" s="12">
        <f t="shared" ca="1" si="82"/>
        <v>0.14005493763314814</v>
      </c>
    </row>
    <row r="436" spans="4:16" x14ac:dyDescent="0.25">
      <c r="D436" s="2">
        <v>40324</v>
      </c>
      <c r="E436" s="13">
        <f t="shared" ca="1" si="85"/>
        <v>41623.889726027395</v>
      </c>
      <c r="F436" s="3">
        <v>107.17</v>
      </c>
      <c r="G436" s="3">
        <f t="shared" si="79"/>
        <v>9.3309694877297744</v>
      </c>
      <c r="H436" s="3">
        <v>1</v>
      </c>
      <c r="I436" s="3">
        <f>G436*SUM(R281:R294)</f>
        <v>91.779415881310044</v>
      </c>
      <c r="J436" s="3">
        <v>0</v>
      </c>
      <c r="K436" s="3">
        <v>168.87</v>
      </c>
      <c r="L436" s="15">
        <v>-1000</v>
      </c>
      <c r="M436" s="10">
        <f>G436*H436*K436+(I436)+(J436)</f>
        <v>1667.5002332742372</v>
      </c>
      <c r="N436" s="3">
        <f ca="1">($Z$17-D436)/365</f>
        <v>3.558904109589041</v>
      </c>
      <c r="O436" s="12">
        <f t="shared" si="81"/>
        <v>0.66750023327423724</v>
      </c>
      <c r="P436" s="12">
        <f t="shared" ca="1" si="82"/>
        <v>0.15450886161693989</v>
      </c>
    </row>
    <row r="437" spans="4:16" x14ac:dyDescent="0.25">
      <c r="D437" s="2">
        <v>40339</v>
      </c>
      <c r="E437" s="13">
        <f t="shared" ca="1" si="85"/>
        <v>41135.044863013696</v>
      </c>
      <c r="F437" s="3">
        <v>109.15</v>
      </c>
      <c r="G437" s="3">
        <f t="shared" si="79"/>
        <v>9.1617040769583138</v>
      </c>
      <c r="H437" s="3">
        <v>1</v>
      </c>
      <c r="I437" s="3">
        <f>G437/2*SUM(R281:R294)+G437/2*SUM(R281:R284)</f>
        <v>55.771873568483727</v>
      </c>
      <c r="J437" s="3">
        <v>0</v>
      </c>
      <c r="K437" s="3">
        <f>'Data (ignore)'!$B$1188</f>
        <v>178.13</v>
      </c>
      <c r="L437" s="15">
        <v>-1000</v>
      </c>
      <c r="M437" s="10">
        <f>G437/2*131.46+G437/2*K437+I437</f>
        <v>1473.9578561612459</v>
      </c>
      <c r="N437" s="3">
        <f ca="1">($Z$17/2+DATE(2011,4,13)/2-D437)/365</f>
        <v>2.1794520547945204</v>
      </c>
      <c r="O437" s="12">
        <f t="shared" si="81"/>
        <v>0.47395785616124592</v>
      </c>
      <c r="P437" s="12">
        <f t="shared" ca="1" si="82"/>
        <v>0.19483011058837718</v>
      </c>
    </row>
    <row r="438" spans="4:16" x14ac:dyDescent="0.25">
      <c r="D438" s="2">
        <v>40401</v>
      </c>
      <c r="E438" s="13">
        <f t="shared" ca="1" si="85"/>
        <v>41623.836986301372</v>
      </c>
      <c r="F438" s="3">
        <v>109.3</v>
      </c>
      <c r="G438" s="3">
        <f t="shared" si="79"/>
        <v>9.149130832570906</v>
      </c>
      <c r="H438" s="3">
        <v>1</v>
      </c>
      <c r="I438" s="3">
        <f>G438*SUM(R282:R294)</f>
        <v>85.132662397072281</v>
      </c>
      <c r="J438" s="3">
        <v>0</v>
      </c>
      <c r="K438" s="3">
        <f>'Data (ignore)'!$B$1188</f>
        <v>178.13</v>
      </c>
      <c r="L438" s="15">
        <v>-1000</v>
      </c>
      <c r="M438" s="10">
        <f>G438*H438*K438+(I438)+(J438)</f>
        <v>1714.8673376029276</v>
      </c>
      <c r="N438" s="3">
        <f ca="1">($Z$17-D438)/365</f>
        <v>3.3479452054794518</v>
      </c>
      <c r="O438" s="12">
        <f t="shared" si="81"/>
        <v>0.71486733760292764</v>
      </c>
      <c r="P438" s="12">
        <f t="shared" ca="1" si="82"/>
        <v>0.1747960395309498</v>
      </c>
    </row>
    <row r="439" spans="4:16" x14ac:dyDescent="0.25">
      <c r="D439" s="2">
        <v>40430</v>
      </c>
      <c r="E439" s="13">
        <f t="shared" si="85"/>
        <v>40583.10479452055</v>
      </c>
      <c r="F439" s="3">
        <v>110.92</v>
      </c>
      <c r="G439" s="3">
        <f t="shared" si="79"/>
        <v>9.0155066714749363</v>
      </c>
      <c r="H439" s="3">
        <v>1</v>
      </c>
      <c r="I439" s="3">
        <f>G439*SUM(R282:R283)</f>
        <v>11.314460872701044</v>
      </c>
      <c r="J439" s="3">
        <v>0</v>
      </c>
      <c r="K439" s="3">
        <v>132.27000000000001</v>
      </c>
      <c r="L439" s="15">
        <v>-1000</v>
      </c>
      <c r="M439" s="10">
        <f>G439*H439*K439+(I439)+(J439)</f>
        <v>1203.795528308691</v>
      </c>
      <c r="N439" s="3">
        <f>(DATE(2011,2,9)-D439)/365</f>
        <v>0.41917808219178082</v>
      </c>
      <c r="O439" s="12">
        <f t="shared" si="81"/>
        <v>0.20379552830869102</v>
      </c>
      <c r="P439" s="12">
        <f t="shared" si="82"/>
        <v>0.55656860686333487</v>
      </c>
    </row>
    <row r="440" spans="4:16" x14ac:dyDescent="0.25">
      <c r="D440" s="2">
        <v>40431</v>
      </c>
      <c r="E440" s="13">
        <f t="shared" si="85"/>
        <v>40549.080821917807</v>
      </c>
      <c r="F440" s="3">
        <v>111.48</v>
      </c>
      <c r="G440" s="3">
        <f t="shared" si="79"/>
        <v>8.9702188733405084</v>
      </c>
      <c r="H440" s="3">
        <v>1</v>
      </c>
      <c r="I440" s="3">
        <f>G440/2*R282+G440/2*R282+G440/4*SUM(R282:R283)</f>
        <v>8.2144779332615698</v>
      </c>
      <c r="J440" s="3">
        <v>0</v>
      </c>
      <c r="K440" s="3">
        <v>127.39</v>
      </c>
      <c r="L440" s="15">
        <v>-1000</v>
      </c>
      <c r="M440" s="10">
        <f>G440/2*118.49+G440/4*122.83+G440/4*127.39+I440</f>
        <v>1100.7871367061355</v>
      </c>
      <c r="N440" s="3">
        <f>(DATE(2011,1,6)-D440)/365</f>
        <v>0.32328767123287672</v>
      </c>
      <c r="O440" s="12">
        <f t="shared" si="81"/>
        <v>0.10078713670613547</v>
      </c>
      <c r="P440" s="12">
        <f t="shared" si="82"/>
        <v>0.34585303406194345</v>
      </c>
    </row>
    <row r="441" spans="4:16" x14ac:dyDescent="0.25">
      <c r="D441" s="2">
        <v>40431</v>
      </c>
      <c r="E441" s="13">
        <f t="shared" si="85"/>
        <v>40456.017123287675</v>
      </c>
      <c r="F441" s="3">
        <v>111.48</v>
      </c>
      <c r="G441" s="3">
        <f t="shared" si="79"/>
        <v>8.9702188733405084</v>
      </c>
      <c r="H441" s="3">
        <v>1</v>
      </c>
      <c r="I441" s="3">
        <f>G441*R282</f>
        <v>5.4000717617509855</v>
      </c>
      <c r="J441" s="3">
        <v>0</v>
      </c>
      <c r="K441" s="3">
        <v>116.65</v>
      </c>
      <c r="L441" s="15">
        <v>-1000</v>
      </c>
      <c r="M441" s="10">
        <f>G441*H441*K441+(I441)+(J441)</f>
        <v>1051.7761033369213</v>
      </c>
      <c r="N441" s="3">
        <f>(DATE(2010,10,5)-D441)/365</f>
        <v>6.8493150684931503E-2</v>
      </c>
      <c r="O441" s="12">
        <f t="shared" si="81"/>
        <v>5.1776103336921321E-2</v>
      </c>
      <c r="P441" s="12">
        <f t="shared" si="82"/>
        <v>1.0896818451589292</v>
      </c>
    </row>
    <row r="442" spans="4:16" x14ac:dyDescent="0.25">
      <c r="D442" s="2">
        <v>40434</v>
      </c>
      <c r="E442" s="13">
        <f t="shared" ca="1" si="85"/>
        <v>41623.814383561643</v>
      </c>
      <c r="F442" s="3">
        <v>112.72</v>
      </c>
      <c r="G442" s="3">
        <f t="shared" si="79"/>
        <v>8.8715400993612494</v>
      </c>
      <c r="H442" s="3">
        <v>1</v>
      </c>
      <c r="I442" s="3">
        <f>G442*SUM(R282:R294)</f>
        <v>82.54968062455643</v>
      </c>
      <c r="J442" s="3">
        <v>0</v>
      </c>
      <c r="K442" s="3">
        <f>'Data (ignore)'!$B$1188</f>
        <v>178.13</v>
      </c>
      <c r="L442" s="15">
        <v>-1000</v>
      </c>
      <c r="M442" s="10">
        <f>G442*H442*K442+(I442)+(J442)</f>
        <v>1662.8371185237759</v>
      </c>
      <c r="N442" s="3">
        <f ca="1">($Z$17-D442)/365</f>
        <v>3.2575342465753425</v>
      </c>
      <c r="O442" s="12">
        <f t="shared" si="81"/>
        <v>0.66283711852377591</v>
      </c>
      <c r="P442" s="12">
        <f t="shared" ca="1" si="82"/>
        <v>0.16895175949478403</v>
      </c>
    </row>
    <row r="443" spans="4:16" x14ac:dyDescent="0.25">
      <c r="D443" s="2">
        <v>40485</v>
      </c>
      <c r="E443" s="13">
        <f t="shared" si="85"/>
        <v>40890.277397260274</v>
      </c>
      <c r="F443" s="3">
        <v>119.95</v>
      </c>
      <c r="G443" s="3">
        <f t="shared" si="79"/>
        <v>8.3368070029178831</v>
      </c>
      <c r="H443" s="3">
        <v>1</v>
      </c>
      <c r="I443" s="3">
        <f>G443*SUM(R283:R286)</f>
        <v>20.500208420175074</v>
      </c>
      <c r="J443" s="3">
        <v>0</v>
      </c>
      <c r="K443" s="3">
        <v>123.05</v>
      </c>
      <c r="L443" s="15">
        <v>-1000</v>
      </c>
      <c r="M443" s="10">
        <f t="shared" ref="M443:M451" si="86">G443*H443*K443+(I443)+(J443)</f>
        <v>1046.3443101292205</v>
      </c>
      <c r="N443" s="3">
        <f>(DATE(2011,12,13)-D443)/365</f>
        <v>1.1095890410958904</v>
      </c>
      <c r="O443" s="12">
        <f t="shared" si="81"/>
        <v>4.6344310129220502E-2</v>
      </c>
      <c r="P443" s="12">
        <f t="shared" si="82"/>
        <v>4.1673089960722498E-2</v>
      </c>
    </row>
    <row r="444" spans="4:16" x14ac:dyDescent="0.25">
      <c r="D444" s="2">
        <v>40485</v>
      </c>
      <c r="E444" s="13">
        <f t="shared" si="85"/>
        <v>40974.334931506848</v>
      </c>
      <c r="F444" s="3">
        <v>119.95</v>
      </c>
      <c r="G444" s="3">
        <f t="shared" si="79"/>
        <v>8.3368070029178831</v>
      </c>
      <c r="H444" s="3">
        <v>1</v>
      </c>
      <c r="I444" s="3">
        <f>G444*SUM(R283:R286)</f>
        <v>20.500208420175074</v>
      </c>
      <c r="J444" s="3">
        <v>0</v>
      </c>
      <c r="K444" s="3">
        <v>134.75</v>
      </c>
      <c r="L444" s="15">
        <v>-1000</v>
      </c>
      <c r="M444" s="10">
        <f t="shared" si="86"/>
        <v>1143.8849520633598</v>
      </c>
      <c r="N444" s="3">
        <f>(DATE(2012,3,6)-D444)/365</f>
        <v>1.3397260273972602</v>
      </c>
      <c r="O444" s="12">
        <f t="shared" si="81"/>
        <v>0.14388495206335983</v>
      </c>
      <c r="P444" s="12">
        <f t="shared" si="82"/>
        <v>0.10554856537069557</v>
      </c>
    </row>
    <row r="445" spans="4:16" x14ac:dyDescent="0.25">
      <c r="D445" s="2">
        <v>40485</v>
      </c>
      <c r="E445" s="13">
        <f t="shared" ca="1" si="85"/>
        <v>41623.779452054798</v>
      </c>
      <c r="F445" s="3">
        <v>119.95</v>
      </c>
      <c r="G445" s="3">
        <f t="shared" si="79"/>
        <v>8.3368070029178831</v>
      </c>
      <c r="H445" s="3">
        <v>1</v>
      </c>
      <c r="I445" s="3">
        <f>G445/2*SUM(R283:R293)+G445/2*SUM(R283:R294)</f>
        <v>69.062109212171748</v>
      </c>
      <c r="J445" s="3">
        <v>0</v>
      </c>
      <c r="K445" s="3">
        <f>'Data (ignore)'!$B$1188</f>
        <v>178.13</v>
      </c>
      <c r="L445" s="15">
        <v>-1000</v>
      </c>
      <c r="M445" s="10">
        <f>(G445/2*169.11+G445/2*K445)*H445+(I445)+(J445)</f>
        <v>1516.4985410587744</v>
      </c>
      <c r="N445" s="3">
        <f ca="1">($Z$17-D445)/365</f>
        <v>3.117808219178082</v>
      </c>
      <c r="O445" s="12">
        <f t="shared" si="81"/>
        <v>0.51649854105877446</v>
      </c>
      <c r="P445" s="12">
        <f t="shared" ca="1" si="82"/>
        <v>0.1428860326224084</v>
      </c>
    </row>
    <row r="446" spans="4:16" x14ac:dyDescent="0.25">
      <c r="D446" s="2">
        <v>40485</v>
      </c>
      <c r="E446" s="13">
        <f t="shared" si="85"/>
        <v>40865.260273972606</v>
      </c>
      <c r="F446" s="3">
        <v>119.95</v>
      </c>
      <c r="G446" s="3">
        <f t="shared" si="79"/>
        <v>8.3368070029178831</v>
      </c>
      <c r="H446" s="3">
        <v>1</v>
      </c>
      <c r="I446" s="3">
        <f>G446*SUM(R283:R286)</f>
        <v>20.500208420175074</v>
      </c>
      <c r="J446" s="3">
        <v>0</v>
      </c>
      <c r="K446" s="3">
        <v>121.98</v>
      </c>
      <c r="L446" s="15">
        <v>-1000</v>
      </c>
      <c r="M446" s="10">
        <f t="shared" si="86"/>
        <v>1037.4239266360985</v>
      </c>
      <c r="N446" s="3">
        <f>(DATE(2011,11,18)-D446)/365</f>
        <v>1.0410958904109588</v>
      </c>
      <c r="O446" s="12">
        <f t="shared" si="81"/>
        <v>3.7423926636098483E-2</v>
      </c>
      <c r="P446" s="12">
        <f t="shared" si="82"/>
        <v>3.5920452951750947E-2</v>
      </c>
    </row>
    <row r="447" spans="4:16" x14ac:dyDescent="0.25">
      <c r="D447" s="2">
        <v>40485</v>
      </c>
      <c r="E447" s="13">
        <f t="shared" si="85"/>
        <v>41354.595205479454</v>
      </c>
      <c r="F447" s="3">
        <v>119.95</v>
      </c>
      <c r="G447" s="3">
        <f t="shared" si="79"/>
        <v>8.3368070029178831</v>
      </c>
      <c r="H447" s="3">
        <v>1</v>
      </c>
      <c r="I447" s="3">
        <f>G447*SUM(R283:R294)</f>
        <v>72.555231346394336</v>
      </c>
      <c r="J447" s="3">
        <v>0</v>
      </c>
      <c r="K447" s="3">
        <v>154.36000000000001</v>
      </c>
      <c r="L447" s="15">
        <v>-1000</v>
      </c>
      <c r="M447" s="10">
        <f t="shared" si="86"/>
        <v>1359.4247603167989</v>
      </c>
      <c r="N447" s="3">
        <f>(DATE(2013,3,21)-D447)/365</f>
        <v>2.3808219178082193</v>
      </c>
      <c r="O447" s="12">
        <f t="shared" si="81"/>
        <v>0.35942476031679893</v>
      </c>
      <c r="P447" s="12">
        <f t="shared" si="82"/>
        <v>0.13765935663495799</v>
      </c>
    </row>
    <row r="448" spans="4:16" x14ac:dyDescent="0.25">
      <c r="D448" s="2">
        <v>40485</v>
      </c>
      <c r="E448" s="13">
        <f t="shared" si="85"/>
        <v>40939.310958904112</v>
      </c>
      <c r="F448" s="3">
        <v>119.95</v>
      </c>
      <c r="G448" s="3">
        <f t="shared" si="79"/>
        <v>8.3368070029178831</v>
      </c>
      <c r="H448" s="3">
        <v>1</v>
      </c>
      <c r="I448" s="3">
        <f>G448*SUM(R283:R287)</f>
        <v>26.919549812421845</v>
      </c>
      <c r="J448" s="3">
        <v>0</v>
      </c>
      <c r="K448" s="3">
        <v>131.32</v>
      </c>
      <c r="L448" s="15">
        <v>-1000</v>
      </c>
      <c r="M448" s="10">
        <f t="shared" si="86"/>
        <v>1121.7090454355982</v>
      </c>
      <c r="N448" s="3">
        <f>(DATE(2012,1,31)-D448)/365</f>
        <v>1.2438356164383562</v>
      </c>
      <c r="O448" s="12">
        <f t="shared" si="81"/>
        <v>0.12170904543559823</v>
      </c>
      <c r="P448" s="12">
        <f t="shared" si="82"/>
        <v>9.6735599330806776E-2</v>
      </c>
    </row>
    <row r="449" spans="4:16" x14ac:dyDescent="0.25">
      <c r="D449" s="2">
        <v>40485</v>
      </c>
      <c r="E449" s="13">
        <f t="shared" si="85"/>
        <v>40939.310958904112</v>
      </c>
      <c r="F449" s="3">
        <v>119.95</v>
      </c>
      <c r="G449" s="3">
        <f t="shared" si="79"/>
        <v>8.3368070029178831</v>
      </c>
      <c r="H449" s="3">
        <v>1</v>
      </c>
      <c r="I449" s="3">
        <f>G449*SUM(R283:R287)</f>
        <v>26.919549812421845</v>
      </c>
      <c r="J449" s="3">
        <v>0</v>
      </c>
      <c r="K449" s="3">
        <v>131.32</v>
      </c>
      <c r="L449" s="15">
        <v>-1000</v>
      </c>
      <c r="M449" s="10">
        <f t="shared" si="86"/>
        <v>1121.7090454355982</v>
      </c>
      <c r="N449" s="3">
        <f>(DATE(2012,1,31)-D449)/365</f>
        <v>1.2438356164383562</v>
      </c>
      <c r="O449" s="12">
        <f t="shared" si="81"/>
        <v>0.12170904543559823</v>
      </c>
      <c r="P449" s="12">
        <f t="shared" si="82"/>
        <v>9.6735599330806776E-2</v>
      </c>
    </row>
    <row r="450" spans="4:16" x14ac:dyDescent="0.25">
      <c r="D450" s="2">
        <v>40492</v>
      </c>
      <c r="E450" s="13">
        <f t="shared" si="85"/>
        <v>40994.343835616441</v>
      </c>
      <c r="F450" s="3">
        <v>122.1</v>
      </c>
      <c r="G450" s="3">
        <f t="shared" si="79"/>
        <v>8.1900081900081911</v>
      </c>
      <c r="H450" s="3">
        <v>1</v>
      </c>
      <c r="I450" s="3">
        <f>G450*SUM(R283:R288)</f>
        <v>31.474201474201479</v>
      </c>
      <c r="J450" s="3">
        <v>0</v>
      </c>
      <c r="K450" s="3">
        <v>141.61000000000001</v>
      </c>
      <c r="L450" s="15">
        <v>-1000</v>
      </c>
      <c r="M450" s="10">
        <f t="shared" si="86"/>
        <v>1191.2612612612616</v>
      </c>
      <c r="N450" s="3">
        <f>(DATE(2012,3,26)-D450)/365</f>
        <v>1.3753424657534246</v>
      </c>
      <c r="O450" s="12">
        <f t="shared" si="81"/>
        <v>0.19126126126126156</v>
      </c>
      <c r="P450" s="12">
        <f t="shared" si="82"/>
        <v>0.13570115565230867</v>
      </c>
    </row>
    <row r="451" spans="4:16" x14ac:dyDescent="0.25">
      <c r="D451" s="2">
        <v>40527</v>
      </c>
      <c r="E451" s="13">
        <f t="shared" si="85"/>
        <v>41256.49931506849</v>
      </c>
      <c r="F451" s="3">
        <v>124.1</v>
      </c>
      <c r="G451" s="3">
        <f t="shared" si="79"/>
        <v>8.058017727639001</v>
      </c>
      <c r="H451" s="3">
        <v>1</v>
      </c>
      <c r="I451" s="3">
        <f>G451*SUM(R283:R290)</f>
        <v>42.788074133763089</v>
      </c>
      <c r="J451" s="3">
        <v>0</v>
      </c>
      <c r="K451" s="3">
        <v>142.63</v>
      </c>
      <c r="L451" s="15">
        <v>-1000</v>
      </c>
      <c r="M451" s="10">
        <f t="shared" si="86"/>
        <v>1192.1031426269137</v>
      </c>
      <c r="N451" s="3">
        <f>(DATE(2012,12,13)-D451)/365</f>
        <v>1.9972602739726026</v>
      </c>
      <c r="O451" s="12">
        <f t="shared" si="81"/>
        <v>0.19210314262691372</v>
      </c>
      <c r="P451" s="12">
        <f t="shared" si="82"/>
        <v>9.196635631761807E-2</v>
      </c>
    </row>
    <row r="452" spans="4:16" x14ac:dyDescent="0.25">
      <c r="D452" s="2">
        <v>40556</v>
      </c>
      <c r="E452" s="13">
        <f t="shared" ca="1" si="85"/>
        <v>41623.730821917808</v>
      </c>
      <c r="F452" s="3">
        <v>128.37</v>
      </c>
      <c r="G452" s="3">
        <f t="shared" si="79"/>
        <v>7.7899820830412088</v>
      </c>
      <c r="H452" s="3">
        <v>1</v>
      </c>
      <c r="I452" s="3">
        <f>G452*SUM(R284:R294)</f>
        <v>62.709355768481721</v>
      </c>
      <c r="J452" s="3">
        <v>0</v>
      </c>
      <c r="K452" s="3">
        <f>'Data (ignore)'!$B$1188</f>
        <v>178.13</v>
      </c>
      <c r="L452" s="15">
        <v>-1000</v>
      </c>
      <c r="M452" s="10">
        <f t="shared" ref="M452:M458" si="87">G452*H452*K452+(I452)+(J452)</f>
        <v>1450.3388642206123</v>
      </c>
      <c r="N452" s="3">
        <f ca="1">($Z$17-D452)/365</f>
        <v>2.9232876712328766</v>
      </c>
      <c r="O452" s="12">
        <f t="shared" si="81"/>
        <v>0.45033886422061231</v>
      </c>
      <c r="P452" s="12">
        <f t="shared" ca="1" si="82"/>
        <v>0.13562665664747398</v>
      </c>
    </row>
    <row r="453" spans="4:16" x14ac:dyDescent="0.25">
      <c r="D453" s="2">
        <v>40556</v>
      </c>
      <c r="E453" s="13">
        <f t="shared" ca="1" si="85"/>
        <v>41623.730821917808</v>
      </c>
      <c r="F453" s="3">
        <v>128.37</v>
      </c>
      <c r="G453" s="3">
        <f t="shared" si="79"/>
        <v>7.7899820830412088</v>
      </c>
      <c r="H453" s="3">
        <v>1</v>
      </c>
      <c r="I453" s="3">
        <f>G453*SUM(R284:R294)</f>
        <v>62.709355768481721</v>
      </c>
      <c r="J453" s="3">
        <v>0</v>
      </c>
      <c r="K453" s="3">
        <f>'Data (ignore)'!$B$1188</f>
        <v>178.13</v>
      </c>
      <c r="L453" s="15">
        <v>-1000</v>
      </c>
      <c r="M453" s="10">
        <f t="shared" si="87"/>
        <v>1450.3388642206123</v>
      </c>
      <c r="N453" s="3">
        <f ca="1">($Z$17-D453)/365</f>
        <v>2.9232876712328766</v>
      </c>
      <c r="O453" s="12">
        <f t="shared" si="81"/>
        <v>0.45033886422061231</v>
      </c>
      <c r="P453" s="12">
        <f t="shared" ca="1" si="82"/>
        <v>0.13562665664747398</v>
      </c>
    </row>
    <row r="454" spans="4:16" x14ac:dyDescent="0.25">
      <c r="D454" s="2">
        <v>40556</v>
      </c>
      <c r="E454" s="13">
        <f t="shared" ca="1" si="85"/>
        <v>41623.730821917808</v>
      </c>
      <c r="F454" s="3">
        <v>128.37</v>
      </c>
      <c r="G454" s="3">
        <f t="shared" si="79"/>
        <v>7.7899820830412088</v>
      </c>
      <c r="H454" s="3">
        <v>1</v>
      </c>
      <c r="I454" s="3">
        <f>G454*SUM(R284:R294)</f>
        <v>62.709355768481721</v>
      </c>
      <c r="J454" s="3">
        <v>0</v>
      </c>
      <c r="K454" s="3">
        <f>'Data (ignore)'!$B$1188</f>
        <v>178.13</v>
      </c>
      <c r="L454" s="15">
        <v>-1000</v>
      </c>
      <c r="M454" s="10">
        <f t="shared" si="87"/>
        <v>1450.3388642206123</v>
      </c>
      <c r="N454" s="3">
        <f ca="1">($Z$17-D454)/365</f>
        <v>2.9232876712328766</v>
      </c>
      <c r="O454" s="12">
        <f t="shared" si="81"/>
        <v>0.45033886422061231</v>
      </c>
      <c r="P454" s="12">
        <f t="shared" ca="1" si="82"/>
        <v>0.13562665664747398</v>
      </c>
    </row>
    <row r="455" spans="4:16" x14ac:dyDescent="0.25">
      <c r="D455" s="2">
        <v>40556</v>
      </c>
      <c r="E455" s="13">
        <f t="shared" ca="1" si="85"/>
        <v>41623.730821917808</v>
      </c>
      <c r="F455" s="3">
        <v>128.37</v>
      </c>
      <c r="G455" s="3">
        <f t="shared" si="79"/>
        <v>7.7899820830412088</v>
      </c>
      <c r="H455" s="3">
        <v>1</v>
      </c>
      <c r="I455" s="3">
        <f>G455*SUM(R284:R294)</f>
        <v>62.709355768481721</v>
      </c>
      <c r="J455" s="3">
        <v>0</v>
      </c>
      <c r="K455" s="3">
        <f>'Data (ignore)'!$B$1188</f>
        <v>178.13</v>
      </c>
      <c r="L455" s="15">
        <v>-1000</v>
      </c>
      <c r="M455" s="10">
        <f t="shared" si="87"/>
        <v>1450.3388642206123</v>
      </c>
      <c r="N455" s="3">
        <f ca="1">($Z$17-D455)/365</f>
        <v>2.9232876712328766</v>
      </c>
      <c r="O455" s="12">
        <f t="shared" si="81"/>
        <v>0.45033886422061231</v>
      </c>
      <c r="P455" s="12">
        <f t="shared" ca="1" si="82"/>
        <v>0.13562665664747398</v>
      </c>
    </row>
    <row r="456" spans="4:16" x14ac:dyDescent="0.25">
      <c r="D456" s="2">
        <v>40585</v>
      </c>
      <c r="E456" s="13">
        <f t="shared" ca="1" si="85"/>
        <v>41623.710958904107</v>
      </c>
      <c r="F456" s="3">
        <v>133.11000000000001</v>
      </c>
      <c r="G456" s="3">
        <f t="shared" si="79"/>
        <v>7.5125835774922987</v>
      </c>
      <c r="H456" s="3">
        <v>1</v>
      </c>
      <c r="I456" s="3">
        <f>G456*SUM(R284:R294)</f>
        <v>60.476297798812993</v>
      </c>
      <c r="J456" s="3">
        <v>0</v>
      </c>
      <c r="K456" s="3">
        <f>'Data (ignore)'!$B$1188</f>
        <v>178.13</v>
      </c>
      <c r="L456" s="15">
        <v>-1000</v>
      </c>
      <c r="M456" s="10">
        <f t="shared" si="87"/>
        <v>1398.6928104575161</v>
      </c>
      <c r="N456" s="3">
        <f ca="1">($Z$17-D456)/365</f>
        <v>2.8438356164383563</v>
      </c>
      <c r="O456" s="12">
        <f t="shared" si="81"/>
        <v>0.39869281045751609</v>
      </c>
      <c r="P456" s="12">
        <f t="shared" ca="1" si="82"/>
        <v>0.12523045694324719</v>
      </c>
    </row>
    <row r="457" spans="4:16" x14ac:dyDescent="0.25">
      <c r="D457" s="2">
        <v>40592</v>
      </c>
      <c r="E457" s="13">
        <f t="shared" ca="1" si="85"/>
        <v>41107.853082191781</v>
      </c>
      <c r="F457" s="3">
        <v>134.53</v>
      </c>
      <c r="G457" s="3">
        <f t="shared" si="79"/>
        <v>7.4332862558537132</v>
      </c>
      <c r="H457" s="3">
        <v>1</v>
      </c>
      <c r="I457" s="3">
        <f>G457/2*SUM(R284:R285)+G457/2*SUM(R284:R294)</f>
        <v>34.30833271389281</v>
      </c>
      <c r="J457" s="3">
        <v>0</v>
      </c>
      <c r="K457" s="3">
        <f>'Data (ignore)'!$B$1188</f>
        <v>178.13</v>
      </c>
      <c r="L457" s="15">
        <v>-1000</v>
      </c>
      <c r="M457" s="10">
        <f>G457/2*116.28+G457/2*K457+I457</f>
        <v>1128.5252360068389</v>
      </c>
      <c r="N457" s="3">
        <f ca="1">($Z$17-D457)/365/2</f>
        <v>1.4123287671232876</v>
      </c>
      <c r="O457" s="12">
        <f t="shared" si="81"/>
        <v>0.12852523600683891</v>
      </c>
      <c r="P457" s="12">
        <f t="shared" ca="1" si="82"/>
        <v>8.9383094220738757E-2</v>
      </c>
    </row>
    <row r="458" spans="4:16" x14ac:dyDescent="0.25">
      <c r="D458" s="2">
        <v>40626</v>
      </c>
      <c r="E458" s="13">
        <f t="shared" si="85"/>
        <v>40662.525000000001</v>
      </c>
      <c r="F458" s="3">
        <v>130.9</v>
      </c>
      <c r="G458" s="3">
        <f t="shared" si="79"/>
        <v>7.6394194041252863</v>
      </c>
      <c r="H458" s="3">
        <v>1</v>
      </c>
      <c r="I458" s="3">
        <f>G458*SUM(R384:R447)</f>
        <v>0</v>
      </c>
      <c r="J458" s="3">
        <v>0</v>
      </c>
      <c r="K458" s="3">
        <v>133.63999999999999</v>
      </c>
      <c r="L458" s="15">
        <v>-1000</v>
      </c>
      <c r="M458" s="10">
        <f t="shared" si="87"/>
        <v>1020.9320091673031</v>
      </c>
      <c r="N458" s="3">
        <v>0.1</v>
      </c>
      <c r="O458" s="12">
        <f t="shared" si="81"/>
        <v>2.0932009167303135E-2</v>
      </c>
      <c r="P458" s="12">
        <f t="shared" si="82"/>
        <v>0.23017870288184161</v>
      </c>
    </row>
    <row r="459" spans="4:16" x14ac:dyDescent="0.25">
      <c r="D459" s="2">
        <v>40644</v>
      </c>
      <c r="E459" s="13">
        <f t="shared" ca="1" si="85"/>
        <v>41623.670547945207</v>
      </c>
      <c r="F459" s="3">
        <v>132.46</v>
      </c>
      <c r="G459" s="3">
        <f t="shared" si="79"/>
        <v>7.5494488902310124</v>
      </c>
      <c r="H459" s="3">
        <v>1</v>
      </c>
      <c r="I459" s="3">
        <f>G459*SUM(R285:R294)</f>
        <v>56.598218330061904</v>
      </c>
      <c r="J459" s="3">
        <v>0</v>
      </c>
      <c r="K459" s="3">
        <f>'Data (ignore)'!$B$1188</f>
        <v>178.13</v>
      </c>
      <c r="L459" s="15">
        <v>-1000</v>
      </c>
      <c r="M459" s="10">
        <f t="shared" ref="M459:M482" si="88">G459*H459*K459+(I459)+(J459)</f>
        <v>1401.381549146912</v>
      </c>
      <c r="N459" s="3">
        <f ca="1">($Z$17-D459)/365</f>
        <v>2.6821917808219178</v>
      </c>
      <c r="O459" s="12">
        <f t="shared" si="81"/>
        <v>0.40138154914691199</v>
      </c>
      <c r="P459" s="12">
        <f t="shared" ca="1" si="82"/>
        <v>0.13407175860162379</v>
      </c>
    </row>
    <row r="460" spans="4:16" x14ac:dyDescent="0.25">
      <c r="D460" s="2">
        <v>40658</v>
      </c>
      <c r="E460" s="13">
        <f t="shared" si="85"/>
        <v>41348.472602739726</v>
      </c>
      <c r="F460" s="3">
        <v>133.63999999999999</v>
      </c>
      <c r="G460" s="3">
        <f t="shared" si="79"/>
        <v>7.4827895839569001</v>
      </c>
      <c r="H460" s="3">
        <v>1</v>
      </c>
      <c r="I460" s="3">
        <f>G460*SUM(R285:R294)</f>
        <v>56.098473510924883</v>
      </c>
      <c r="J460" s="3">
        <v>0</v>
      </c>
      <c r="K460" s="3">
        <v>155.83000000000001</v>
      </c>
      <c r="L460" s="15">
        <v>-1000</v>
      </c>
      <c r="M460" s="10">
        <f t="shared" si="88"/>
        <v>1222.1415743789287</v>
      </c>
      <c r="N460" s="3">
        <f>(DATE(2013,3,15)-D460)/365</f>
        <v>1.8904109589041096</v>
      </c>
      <c r="O460" s="12">
        <f t="shared" si="81"/>
        <v>0.22214157437892867</v>
      </c>
      <c r="P460" s="12">
        <f t="shared" si="82"/>
        <v>0.11195194901830674</v>
      </c>
    </row>
    <row r="461" spans="4:16" x14ac:dyDescent="0.25">
      <c r="D461" s="2">
        <v>40680</v>
      </c>
      <c r="E461" s="13">
        <f t="shared" si="85"/>
        <v>41023.23493150685</v>
      </c>
      <c r="F461" s="3">
        <v>133.16999999999999</v>
      </c>
      <c r="G461" s="3">
        <f t="shared" si="79"/>
        <v>7.5091987684914026</v>
      </c>
      <c r="H461" s="3">
        <v>1</v>
      </c>
      <c r="I461" s="3">
        <f>G461*SUM(R285:R288)</f>
        <v>19.801757152511829</v>
      </c>
      <c r="J461" s="3">
        <v>0</v>
      </c>
      <c r="K461" s="3">
        <v>137.31</v>
      </c>
      <c r="L461" s="15">
        <v>-1000</v>
      </c>
      <c r="M461" s="10">
        <f t="shared" si="88"/>
        <v>1050.8898400540663</v>
      </c>
      <c r="N461" s="3">
        <f>(DATE(2012,4,24)-D461)/365</f>
        <v>0.9397260273972603</v>
      </c>
      <c r="O461" s="12">
        <f t="shared" si="81"/>
        <v>5.0889840054066326E-2</v>
      </c>
      <c r="P461" s="12">
        <f t="shared" si="82"/>
        <v>5.4240923027814469E-2</v>
      </c>
    </row>
    <row r="462" spans="4:16" x14ac:dyDescent="0.25">
      <c r="D462" s="2">
        <v>40689</v>
      </c>
      <c r="E462" s="13">
        <f t="shared" si="85"/>
        <v>41248.382876712327</v>
      </c>
      <c r="F462" s="3">
        <v>133</v>
      </c>
      <c r="G462" s="3">
        <f t="shared" si="79"/>
        <v>7.518796992481203</v>
      </c>
      <c r="H462" s="3">
        <v>1</v>
      </c>
      <c r="I462" s="3">
        <f>G462*SUM(R285:R290)</f>
        <v>30.857142857142858</v>
      </c>
      <c r="J462" s="3">
        <v>0</v>
      </c>
      <c r="K462" s="3">
        <v>141.5</v>
      </c>
      <c r="L462" s="15">
        <v>-1000</v>
      </c>
      <c r="M462" s="10">
        <f t="shared" si="88"/>
        <v>1094.7669172932331</v>
      </c>
      <c r="N462" s="3">
        <f>((DATE(2012,12,5))-D462)/365</f>
        <v>1.5315068493150685</v>
      </c>
      <c r="O462" s="12">
        <f t="shared" si="81"/>
        <v>9.4766917293233069E-2</v>
      </c>
      <c r="P462" s="12">
        <f t="shared" si="82"/>
        <v>6.0901706515288145E-2</v>
      </c>
    </row>
    <row r="463" spans="4:16" x14ac:dyDescent="0.25">
      <c r="D463" s="2">
        <v>40702</v>
      </c>
      <c r="E463" s="13">
        <f t="shared" ca="1" si="85"/>
        <v>41623.63082191781</v>
      </c>
      <c r="F463" s="3">
        <v>128.41999999999999</v>
      </c>
      <c r="G463" s="3">
        <f t="shared" si="79"/>
        <v>7.7869490733530613</v>
      </c>
      <c r="H463" s="3">
        <v>1</v>
      </c>
      <c r="I463" s="3">
        <f>G463*SUM(R285:R294)</f>
        <v>58.378757202927908</v>
      </c>
      <c r="J463" s="3">
        <v>0</v>
      </c>
      <c r="K463" s="3">
        <f>'Data (ignore)'!$B$1188</f>
        <v>178.13</v>
      </c>
      <c r="L463" s="15">
        <v>-1000</v>
      </c>
      <c r="M463" s="10">
        <f t="shared" si="88"/>
        <v>1445.4679956393088</v>
      </c>
      <c r="N463" s="3">
        <f ca="1">($Z$17-D463)/365</f>
        <v>2.5232876712328767</v>
      </c>
      <c r="O463" s="12">
        <f t="shared" si="81"/>
        <v>0.44546799563930883</v>
      </c>
      <c r="P463" s="12">
        <f t="shared" ca="1" si="82"/>
        <v>0.15721138707881011</v>
      </c>
    </row>
    <row r="464" spans="4:16" x14ac:dyDescent="0.25">
      <c r="D464" s="2">
        <v>40722</v>
      </c>
      <c r="E464" s="13">
        <f t="shared" si="85"/>
        <v>41348.428767123289</v>
      </c>
      <c r="F464" s="3">
        <v>129.61000000000001</v>
      </c>
      <c r="G464" s="3">
        <f t="shared" si="79"/>
        <v>7.7154540544711052</v>
      </c>
      <c r="H464" s="3">
        <v>1</v>
      </c>
      <c r="I464" s="3">
        <f>G464*SUM(R286:R292)</f>
        <v>40.058637450813983</v>
      </c>
      <c r="J464" s="3">
        <v>0</v>
      </c>
      <c r="K464" s="3">
        <v>155.83000000000001</v>
      </c>
      <c r="L464" s="15">
        <v>-1000</v>
      </c>
      <c r="M464" s="10">
        <f t="shared" si="88"/>
        <v>1242.3578427590462</v>
      </c>
      <c r="N464" s="3">
        <f>(DATE(2013,3,15)-D464)/365</f>
        <v>1.715068493150685</v>
      </c>
      <c r="O464" s="12">
        <f t="shared" si="81"/>
        <v>0.2423578427590462</v>
      </c>
      <c r="P464" s="12">
        <f t="shared" si="82"/>
        <v>0.13488577593977613</v>
      </c>
    </row>
    <row r="465" spans="4:16" x14ac:dyDescent="0.25">
      <c r="D465" s="2">
        <v>40729</v>
      </c>
      <c r="E465" s="13">
        <f t="shared" ca="1" si="85"/>
        <v>41623.612328767122</v>
      </c>
      <c r="F465" s="3">
        <v>133.81</v>
      </c>
      <c r="G465" s="3">
        <f t="shared" si="79"/>
        <v>7.4732830132277108</v>
      </c>
      <c r="H465" s="3">
        <v>1</v>
      </c>
      <c r="I465" s="3">
        <f>G465*SUM(R286:R294)</f>
        <v>51.333981017861149</v>
      </c>
      <c r="J465" s="3">
        <v>0</v>
      </c>
      <c r="K465" s="3">
        <f>'Data (ignore)'!$B$1188</f>
        <v>178.13</v>
      </c>
      <c r="L465" s="15">
        <v>-1000</v>
      </c>
      <c r="M465" s="10">
        <f t="shared" si="88"/>
        <v>1382.5498841641131</v>
      </c>
      <c r="N465" s="3">
        <f t="shared" ref="N465:N471" ca="1" si="89">($Z$17-D465)/365</f>
        <v>2.4493150684931506</v>
      </c>
      <c r="O465" s="12">
        <f t="shared" si="81"/>
        <v>0.38254988416411312</v>
      </c>
      <c r="P465" s="12">
        <f t="shared" ca="1" si="82"/>
        <v>0.14139718229149389</v>
      </c>
    </row>
    <row r="466" spans="4:16" x14ac:dyDescent="0.25">
      <c r="D466" s="2">
        <v>40729</v>
      </c>
      <c r="E466" s="13">
        <f t="shared" ca="1" si="85"/>
        <v>41623.612328767122</v>
      </c>
      <c r="F466" s="3">
        <v>133.81</v>
      </c>
      <c r="G466" s="3">
        <f t="shared" si="79"/>
        <v>7.4732830132277108</v>
      </c>
      <c r="H466" s="3">
        <v>1</v>
      </c>
      <c r="I466" s="3">
        <f>G466*SUM(R286:R294)</f>
        <v>51.333981017861149</v>
      </c>
      <c r="J466" s="3">
        <v>0</v>
      </c>
      <c r="K466" s="3">
        <f>'Data (ignore)'!$B$1188</f>
        <v>178.13</v>
      </c>
      <c r="L466" s="15">
        <v>-1000</v>
      </c>
      <c r="M466" s="10">
        <f t="shared" si="88"/>
        <v>1382.5498841641131</v>
      </c>
      <c r="N466" s="3">
        <f t="shared" ca="1" si="89"/>
        <v>2.4493150684931506</v>
      </c>
      <c r="O466" s="12">
        <f t="shared" si="81"/>
        <v>0.38254988416411312</v>
      </c>
      <c r="P466" s="12">
        <f t="shared" ca="1" si="82"/>
        <v>0.14139718229149389</v>
      </c>
    </row>
    <row r="467" spans="4:16" x14ac:dyDescent="0.25">
      <c r="D467" s="2">
        <v>40745</v>
      </c>
      <c r="E467" s="13">
        <f t="shared" ca="1" si="85"/>
        <v>41623.601369863012</v>
      </c>
      <c r="F467" s="3">
        <v>134.49</v>
      </c>
      <c r="G467" s="3">
        <f t="shared" si="79"/>
        <v>7.4354970629786594</v>
      </c>
      <c r="H467" s="3">
        <v>1</v>
      </c>
      <c r="I467" s="3">
        <f>G467*SUM(R286:R294)</f>
        <v>51.07442932560042</v>
      </c>
      <c r="J467" s="3">
        <v>0</v>
      </c>
      <c r="K467" s="3">
        <f>'Data (ignore)'!$B$1188</f>
        <v>178.13</v>
      </c>
      <c r="L467" s="15">
        <v>-1000</v>
      </c>
      <c r="M467" s="10">
        <f t="shared" si="88"/>
        <v>1375.559521153989</v>
      </c>
      <c r="N467" s="3">
        <f t="shared" ca="1" si="89"/>
        <v>2.4054794520547946</v>
      </c>
      <c r="O467" s="12">
        <f t="shared" si="81"/>
        <v>0.37555952115398894</v>
      </c>
      <c r="P467" s="12">
        <f t="shared" ca="1" si="82"/>
        <v>0.14174287528570351</v>
      </c>
    </row>
    <row r="468" spans="4:16" x14ac:dyDescent="0.25">
      <c r="D468" s="2">
        <v>40759</v>
      </c>
      <c r="E468" s="13">
        <f t="shared" ca="1" si="85"/>
        <v>41623.591780821916</v>
      </c>
      <c r="F468" s="3">
        <v>120.26</v>
      </c>
      <c r="G468" s="3">
        <f t="shared" si="79"/>
        <v>8.3153168135705968</v>
      </c>
      <c r="H468" s="3">
        <v>1</v>
      </c>
      <c r="I468" s="3">
        <f>G468*SUM(R286:R294)</f>
        <v>57.117911192416436</v>
      </c>
      <c r="J468" s="3">
        <v>0</v>
      </c>
      <c r="K468" s="3">
        <f>'Data (ignore)'!$B$1188</f>
        <v>178.13</v>
      </c>
      <c r="L468" s="15">
        <v>-1000</v>
      </c>
      <c r="M468" s="10">
        <f t="shared" si="88"/>
        <v>1538.3252951937468</v>
      </c>
      <c r="N468" s="3">
        <f t="shared" ca="1" si="89"/>
        <v>2.3671232876712329</v>
      </c>
      <c r="O468" s="12">
        <f t="shared" si="81"/>
        <v>0.53832529519374683</v>
      </c>
      <c r="P468" s="12">
        <f t="shared" ca="1" si="82"/>
        <v>0.19955232541091106</v>
      </c>
    </row>
    <row r="469" spans="4:16" x14ac:dyDescent="0.25">
      <c r="D469" s="2">
        <v>40764</v>
      </c>
      <c r="E469" s="13">
        <f t="shared" ca="1" si="85"/>
        <v>41623.588356164386</v>
      </c>
      <c r="F469" s="3">
        <v>117.48</v>
      </c>
      <c r="G469" s="3">
        <f t="shared" si="79"/>
        <v>8.5120871637725575</v>
      </c>
      <c r="H469" s="3">
        <v>1</v>
      </c>
      <c r="I469" s="3">
        <f>G469*SUM(R286:R294)</f>
        <v>58.469526727953706</v>
      </c>
      <c r="J469" s="3">
        <v>0</v>
      </c>
      <c r="K469" s="3">
        <f>'Data (ignore)'!$B$1188</f>
        <v>178.13</v>
      </c>
      <c r="L469" s="15">
        <v>-1000</v>
      </c>
      <c r="M469" s="10">
        <f t="shared" si="88"/>
        <v>1574.7276132107593</v>
      </c>
      <c r="N469" s="3">
        <f t="shared" ca="1" si="89"/>
        <v>2.3534246575342466</v>
      </c>
      <c r="O469" s="12">
        <f t="shared" si="81"/>
        <v>0.57472761321075927</v>
      </c>
      <c r="P469" s="12">
        <f t="shared" ca="1" si="82"/>
        <v>0.21281649535196268</v>
      </c>
    </row>
    <row r="470" spans="4:16" x14ac:dyDescent="0.25">
      <c r="D470" s="2">
        <v>40764</v>
      </c>
      <c r="E470" s="13">
        <f t="shared" ca="1" si="85"/>
        <v>41623.588356164386</v>
      </c>
      <c r="F470" s="3">
        <v>117.48</v>
      </c>
      <c r="G470" s="3">
        <f t="shared" si="79"/>
        <v>8.5120871637725575</v>
      </c>
      <c r="H470" s="3">
        <v>1</v>
      </c>
      <c r="I470" s="3">
        <f>G470*SUM(R286:R294)</f>
        <v>58.469526727953706</v>
      </c>
      <c r="J470" s="3">
        <v>0</v>
      </c>
      <c r="K470" s="3">
        <f>'Data (ignore)'!$B$1188</f>
        <v>178.13</v>
      </c>
      <c r="L470" s="15">
        <v>-1000</v>
      </c>
      <c r="M470" s="10">
        <f t="shared" si="88"/>
        <v>1574.7276132107593</v>
      </c>
      <c r="N470" s="3">
        <f t="shared" ca="1" si="89"/>
        <v>2.3534246575342466</v>
      </c>
      <c r="O470" s="12">
        <f t="shared" si="81"/>
        <v>0.57472761321075927</v>
      </c>
      <c r="P470" s="12">
        <f t="shared" ca="1" si="82"/>
        <v>0.21281649535196268</v>
      </c>
    </row>
    <row r="471" spans="4:16" x14ac:dyDescent="0.25">
      <c r="D471" s="2">
        <v>40764</v>
      </c>
      <c r="E471" s="13">
        <f t="shared" ca="1" si="85"/>
        <v>41623.588356164386</v>
      </c>
      <c r="F471" s="3">
        <v>117.48</v>
      </c>
      <c r="G471" s="3">
        <f t="shared" si="79"/>
        <v>8.5120871637725575</v>
      </c>
      <c r="H471" s="3">
        <v>1</v>
      </c>
      <c r="I471" s="3">
        <f>G471*SUM(R286:R294)</f>
        <v>58.469526727953706</v>
      </c>
      <c r="J471" s="3">
        <v>0</v>
      </c>
      <c r="K471" s="3">
        <f>'Data (ignore)'!$B$1188</f>
        <v>178.13</v>
      </c>
      <c r="L471" s="15">
        <v>-1000</v>
      </c>
      <c r="M471" s="10">
        <f t="shared" si="88"/>
        <v>1574.7276132107593</v>
      </c>
      <c r="N471" s="3">
        <f t="shared" ca="1" si="89"/>
        <v>2.3534246575342466</v>
      </c>
      <c r="O471" s="12">
        <f t="shared" si="81"/>
        <v>0.57472761321075927</v>
      </c>
      <c r="P471" s="12">
        <f t="shared" ca="1" si="82"/>
        <v>0.21281649535196268</v>
      </c>
    </row>
    <row r="472" spans="4:16" x14ac:dyDescent="0.25">
      <c r="D472" s="2">
        <v>40767</v>
      </c>
      <c r="E472" s="13">
        <f t="shared" si="85"/>
        <v>40955.128767123286</v>
      </c>
      <c r="F472" s="3">
        <v>118.12</v>
      </c>
      <c r="G472" s="3">
        <f t="shared" si="79"/>
        <v>8.4659668134100912</v>
      </c>
      <c r="H472" s="3">
        <v>1</v>
      </c>
      <c r="I472" s="3">
        <f>G472*SUM(R286:R287)</f>
        <v>11.810023704707078</v>
      </c>
      <c r="J472" s="3">
        <v>0</v>
      </c>
      <c r="K472" s="3">
        <v>136.05000000000001</v>
      </c>
      <c r="L472" s="15">
        <v>-1000</v>
      </c>
      <c r="M472" s="10">
        <f t="shared" si="88"/>
        <v>1163.6048086691499</v>
      </c>
      <c r="N472" s="3">
        <f>(DATE(2012,2,16)-D472)/365</f>
        <v>0.51506849315068493</v>
      </c>
      <c r="O472" s="12">
        <f t="shared" si="81"/>
        <v>0.16360480866914986</v>
      </c>
      <c r="P472" s="12">
        <f t="shared" si="82"/>
        <v>0.34202526645151199</v>
      </c>
    </row>
    <row r="473" spans="4:16" x14ac:dyDescent="0.25">
      <c r="D473" s="2">
        <v>40799</v>
      </c>
      <c r="E473" s="13">
        <f t="shared" si="85"/>
        <v>40808.006164383565</v>
      </c>
      <c r="F473" s="3">
        <v>117.74</v>
      </c>
      <c r="G473" s="3">
        <f t="shared" si="79"/>
        <v>8.4932903006624763</v>
      </c>
      <c r="H473" s="3">
        <v>1</v>
      </c>
      <c r="I473" s="3">
        <f>G473*R286</f>
        <v>5.3083064379140481</v>
      </c>
      <c r="J473" s="3">
        <v>0</v>
      </c>
      <c r="K473" s="3">
        <v>112.86</v>
      </c>
      <c r="L473" s="15">
        <v>-1000</v>
      </c>
      <c r="M473" s="10">
        <f t="shared" si="88"/>
        <v>963.86104977068112</v>
      </c>
      <c r="N473" s="3">
        <f>(DATE(2011,9,22)-D473)/365</f>
        <v>2.4657534246575342E-2</v>
      </c>
      <c r="O473" s="12">
        <f t="shared" si="81"/>
        <v>-3.6138950229318879E-2</v>
      </c>
      <c r="P473" s="12">
        <f t="shared" si="82"/>
        <v>-0.77525173457148844</v>
      </c>
    </row>
    <row r="474" spans="4:16" x14ac:dyDescent="0.25">
      <c r="D474" s="2">
        <v>40809</v>
      </c>
      <c r="E474" s="13">
        <f t="shared" ca="1" si="85"/>
        <v>41623.557534246575</v>
      </c>
      <c r="F474" s="3">
        <v>113.54</v>
      </c>
      <c r="G474" s="3">
        <f t="shared" si="79"/>
        <v>8.8074687334859956</v>
      </c>
      <c r="H474" s="3">
        <v>1</v>
      </c>
      <c r="I474" s="3">
        <f>G474*SUM(R287:R294)</f>
        <v>54.993834771886561</v>
      </c>
      <c r="J474" s="3">
        <v>0</v>
      </c>
      <c r="K474" s="3">
        <f>'Data (ignore)'!$B$1188</f>
        <v>178.13</v>
      </c>
      <c r="L474" s="15">
        <v>-1000</v>
      </c>
      <c r="M474" s="10">
        <f t="shared" si="88"/>
        <v>1623.8682402677471</v>
      </c>
      <c r="N474" s="3">
        <f t="shared" ref="N474:N480" ca="1" si="90">($Z$17-D474)/365</f>
        <v>2.2301369863013698</v>
      </c>
      <c r="O474" s="12">
        <f t="shared" si="81"/>
        <v>0.62386824026774712</v>
      </c>
      <c r="P474" s="12">
        <f t="shared" ca="1" si="82"/>
        <v>0.24282961706775996</v>
      </c>
    </row>
    <row r="475" spans="4:16" x14ac:dyDescent="0.25">
      <c r="D475" s="2">
        <v>40821</v>
      </c>
      <c r="E475" s="13">
        <f t="shared" ca="1" si="85"/>
        <v>41623.549315068492</v>
      </c>
      <c r="F475" s="3">
        <v>114.42</v>
      </c>
      <c r="G475" s="3">
        <f t="shared" si="79"/>
        <v>8.7397308162908587</v>
      </c>
      <c r="H475" s="3">
        <v>1</v>
      </c>
      <c r="I475" s="3">
        <f>G475*SUM(R287:R294)</f>
        <v>54.570879216920126</v>
      </c>
      <c r="J475" s="3">
        <v>0</v>
      </c>
      <c r="K475" s="3">
        <f>'Data (ignore)'!$B$1188</f>
        <v>178.13</v>
      </c>
      <c r="L475" s="15">
        <v>-1000</v>
      </c>
      <c r="M475" s="10">
        <f t="shared" si="88"/>
        <v>1611.3791295228107</v>
      </c>
      <c r="N475" s="3">
        <f t="shared" ca="1" si="90"/>
        <v>2.1972602739726028</v>
      </c>
      <c r="O475" s="12">
        <f t="shared" si="81"/>
        <v>0.6113791295228107</v>
      </c>
      <c r="P475" s="12">
        <f t="shared" ca="1" si="82"/>
        <v>0.24250521657023505</v>
      </c>
    </row>
    <row r="476" spans="4:16" x14ac:dyDescent="0.25">
      <c r="D476" s="2">
        <v>40848</v>
      </c>
      <c r="E476" s="13">
        <f t="shared" ca="1" si="85"/>
        <v>41575.497945205476</v>
      </c>
      <c r="F476" s="3">
        <v>122</v>
      </c>
      <c r="G476" s="3">
        <f t="shared" si="79"/>
        <v>8.1967213114754092</v>
      </c>
      <c r="H476" s="3">
        <v>1</v>
      </c>
      <c r="I476" s="3">
        <f>G476/2*SUM(R287:R294)+G476/2*SUM(R287:R293)</f>
        <v>47.745901639344261</v>
      </c>
      <c r="J476" s="3">
        <v>0</v>
      </c>
      <c r="K476" s="3">
        <f>'Data (ignore)'!$B$1188</f>
        <v>178.13</v>
      </c>
      <c r="L476" s="15">
        <v>-1000</v>
      </c>
      <c r="M476" s="10">
        <f>(G476/2*169.11+G476/2*K476)*H476+(I476)+(J476)</f>
        <v>1470.860655737705</v>
      </c>
      <c r="N476" s="3">
        <f ca="1">(((DATE(2013,9,10)-D476)/2)+($Z$17-D476)/2)/365</f>
        <v>1.9917808219178081</v>
      </c>
      <c r="O476" s="12">
        <f t="shared" si="81"/>
        <v>0.47086065573770497</v>
      </c>
      <c r="P476" s="12">
        <f t="shared" ca="1" si="82"/>
        <v>0.21375634015798384</v>
      </c>
    </row>
    <row r="477" spans="4:16" x14ac:dyDescent="0.25">
      <c r="D477" s="2">
        <v>40876</v>
      </c>
      <c r="E477" s="13">
        <f t="shared" ca="1" si="85"/>
        <v>41623.51164383562</v>
      </c>
      <c r="F477" s="3">
        <v>120.05</v>
      </c>
      <c r="G477" s="3">
        <f t="shared" si="79"/>
        <v>8.3298625572678056</v>
      </c>
      <c r="H477" s="3">
        <v>1</v>
      </c>
      <c r="I477" s="3">
        <f>G477*SUM(R287:R294)</f>
        <v>52.011661807580182</v>
      </c>
      <c r="J477" s="3">
        <v>0</v>
      </c>
      <c r="K477" s="3">
        <f>'Data (ignore)'!$B$1188</f>
        <v>178.13</v>
      </c>
      <c r="L477" s="15">
        <v>-1000</v>
      </c>
      <c r="M477" s="10">
        <f t="shared" si="88"/>
        <v>1535.8100791336942</v>
      </c>
      <c r="N477" s="3">
        <f t="shared" ca="1" si="90"/>
        <v>2.0465753424657533</v>
      </c>
      <c r="O477" s="12">
        <f t="shared" si="81"/>
        <v>0.53581007913369416</v>
      </c>
      <c r="P477" s="12">
        <f t="shared" ca="1" si="82"/>
        <v>0.23324240733734669</v>
      </c>
    </row>
    <row r="478" spans="4:16" x14ac:dyDescent="0.25">
      <c r="D478" s="2">
        <v>40954</v>
      </c>
      <c r="E478" s="13">
        <f t="shared" ca="1" si="85"/>
        <v>41623.458219178079</v>
      </c>
      <c r="F478" s="3">
        <v>134.56</v>
      </c>
      <c r="G478" s="3">
        <f t="shared" si="79"/>
        <v>7.4316290130796672</v>
      </c>
      <c r="H478" s="3">
        <v>1</v>
      </c>
      <c r="I478" s="3">
        <f>G478*SUM(R288:R294)</f>
        <v>40.680737217598093</v>
      </c>
      <c r="J478" s="3">
        <v>0</v>
      </c>
      <c r="K478" s="3">
        <f>'Data (ignore)'!$B$1188</f>
        <v>178.13</v>
      </c>
      <c r="L478" s="15">
        <v>-1000</v>
      </c>
      <c r="M478" s="10">
        <f t="shared" si="88"/>
        <v>1364.4768133174791</v>
      </c>
      <c r="N478" s="3">
        <f t="shared" ca="1" si="90"/>
        <v>1.832876712328767</v>
      </c>
      <c r="O478" s="12">
        <f t="shared" si="81"/>
        <v>0.36447681331747911</v>
      </c>
      <c r="P478" s="12">
        <f t="shared" ca="1" si="82"/>
        <v>0.18477599364892239</v>
      </c>
    </row>
    <row r="479" spans="4:16" x14ac:dyDescent="0.25">
      <c r="D479" s="2">
        <v>40976</v>
      </c>
      <c r="E479" s="13">
        <f t="shared" ca="1" si="85"/>
        <v>41623.443150684929</v>
      </c>
      <c r="F479" s="3">
        <v>137.04</v>
      </c>
      <c r="G479" s="3">
        <f t="shared" si="79"/>
        <v>7.2971395213076482</v>
      </c>
      <c r="H479" s="3">
        <v>1</v>
      </c>
      <c r="I479" s="3">
        <f>G479*SUM(R288:R294)</f>
        <v>39.944541739638062</v>
      </c>
      <c r="J479" s="3">
        <v>0</v>
      </c>
      <c r="K479" s="3">
        <f>'Data (ignore)'!$B$1188</f>
        <v>178.13</v>
      </c>
      <c r="L479" s="15">
        <v>-1000</v>
      </c>
      <c r="M479" s="10">
        <f t="shared" si="88"/>
        <v>1339.7840046701695</v>
      </c>
      <c r="N479" s="3">
        <f t="shared" ca="1" si="90"/>
        <v>1.7726027397260273</v>
      </c>
      <c r="O479" s="12">
        <f t="shared" si="81"/>
        <v>0.33978400467016945</v>
      </c>
      <c r="P479" s="12">
        <f t="shared" ca="1" si="82"/>
        <v>0.17941238618821598</v>
      </c>
    </row>
    <row r="480" spans="4:16" x14ac:dyDescent="0.25">
      <c r="D480" s="2">
        <v>40989</v>
      </c>
      <c r="E480" s="13">
        <f t="shared" ca="1" si="85"/>
        <v>41623.434246575343</v>
      </c>
      <c r="F480" s="3">
        <v>140.21</v>
      </c>
      <c r="G480" s="3">
        <f t="shared" ref="G480:G499" si="91">1000/F480</f>
        <v>7.1321589045003915</v>
      </c>
      <c r="H480" s="3">
        <v>1</v>
      </c>
      <c r="I480" s="3">
        <f>G480*SUM(R289:R294)</f>
        <v>34.662292275871906</v>
      </c>
      <c r="J480" s="3">
        <v>0</v>
      </c>
      <c r="K480" s="3">
        <f>'Data (ignore)'!$B$1188</f>
        <v>178.13</v>
      </c>
      <c r="L480" s="15">
        <v>-1000</v>
      </c>
      <c r="M480" s="10">
        <f t="shared" si="88"/>
        <v>1305.1137579345268</v>
      </c>
      <c r="N480" s="3">
        <f t="shared" ca="1" si="90"/>
        <v>1.736986301369863</v>
      </c>
      <c r="O480" s="12">
        <f t="shared" si="81"/>
        <v>0.30511375793452677</v>
      </c>
      <c r="P480" s="12">
        <f t="shared" ca="1" si="82"/>
        <v>0.16568147926121024</v>
      </c>
    </row>
    <row r="481" spans="4:16" x14ac:dyDescent="0.25">
      <c r="D481" s="2">
        <v>41003</v>
      </c>
      <c r="E481" s="13">
        <f t="shared" si="85"/>
        <v>41348.236301369863</v>
      </c>
      <c r="F481" s="3">
        <v>139.86000000000001</v>
      </c>
      <c r="G481" s="3">
        <f t="shared" si="91"/>
        <v>7.1500071500071494</v>
      </c>
      <c r="H481" s="3">
        <v>1</v>
      </c>
      <c r="I481" s="3">
        <f>G481*SUM(R289:R292)</f>
        <v>22.758472758472756</v>
      </c>
      <c r="J481" s="3">
        <v>0</v>
      </c>
      <c r="K481" s="3">
        <v>155.83000000000001</v>
      </c>
      <c r="L481" s="15">
        <v>-1000</v>
      </c>
      <c r="M481" s="10">
        <f t="shared" si="88"/>
        <v>1136.9440869440871</v>
      </c>
      <c r="N481" s="3">
        <f>(DATE(2013,3,15)-D481)/365</f>
        <v>0.9452054794520548</v>
      </c>
      <c r="O481" s="12">
        <f>(M481-1000)/1000</f>
        <v>0.13694408694408708</v>
      </c>
      <c r="P481" s="12">
        <f>(M481/1000)^(1/N481)-1</f>
        <v>0.14543476421383295</v>
      </c>
    </row>
    <row r="482" spans="4:16" x14ac:dyDescent="0.25">
      <c r="D482" s="2">
        <v>41043</v>
      </c>
      <c r="E482" s="13">
        <f t="shared" si="85"/>
        <v>41138.065068493153</v>
      </c>
      <c r="F482" s="3">
        <v>134.11000000000001</v>
      </c>
      <c r="G482" s="3">
        <f t="shared" si="91"/>
        <v>7.4565655059279692</v>
      </c>
      <c r="H482" s="3">
        <v>1</v>
      </c>
      <c r="I482" s="3">
        <f>G482*R289</f>
        <v>5.1301170680784427</v>
      </c>
      <c r="J482" s="3">
        <v>0</v>
      </c>
      <c r="K482" s="3">
        <v>142.18</v>
      </c>
      <c r="L482" s="15">
        <v>-1000</v>
      </c>
      <c r="M482" s="10">
        <f t="shared" si="88"/>
        <v>1065.304600700917</v>
      </c>
      <c r="N482" s="3">
        <f>(DATE(2012,8,17)-D482)/365</f>
        <v>0.26027397260273971</v>
      </c>
      <c r="O482" s="12">
        <f t="shared" ref="O482:O496" si="92">(M482-1000)/1000</f>
        <v>6.5304600700917037E-2</v>
      </c>
      <c r="P482" s="12">
        <f t="shared" ref="P482:P496" si="93">(M482/1000)^(1/N482)-1</f>
        <v>0.27513815665235919</v>
      </c>
    </row>
    <row r="483" spans="4:16" x14ac:dyDescent="0.25">
      <c r="D483" s="2">
        <v>41060</v>
      </c>
      <c r="E483" s="13">
        <f t="shared" ca="1" si="85"/>
        <v>41623.385616438354</v>
      </c>
      <c r="F483" s="3">
        <v>131.47</v>
      </c>
      <c r="G483" s="3">
        <f t="shared" si="91"/>
        <v>7.6062980147562183</v>
      </c>
      <c r="H483" s="3">
        <v>1</v>
      </c>
      <c r="I483" s="3">
        <f>G483*SUM(R289:R294)</f>
        <v>36.966608351715223</v>
      </c>
      <c r="J483" s="3">
        <v>0</v>
      </c>
      <c r="K483" s="3">
        <f>'Data (ignore)'!$B$1188</f>
        <v>178.13</v>
      </c>
      <c r="L483" s="15">
        <v>-1000</v>
      </c>
      <c r="M483" s="10">
        <f t="shared" ref="M483:M499" si="94">G483*H483*K483+(I483)+(J483)</f>
        <v>1391.8764737202403</v>
      </c>
      <c r="N483" s="3">
        <f t="shared" ref="N483:N499" ca="1" si="95">($Z$17-D483)/365</f>
        <v>1.5424657534246575</v>
      </c>
      <c r="O483" s="12">
        <f t="shared" si="92"/>
        <v>0.39187647372024026</v>
      </c>
      <c r="P483" s="12">
        <f t="shared" ca="1" si="93"/>
        <v>0.23907655896061364</v>
      </c>
    </row>
    <row r="484" spans="4:16" x14ac:dyDescent="0.25">
      <c r="D484" s="2">
        <v>41106</v>
      </c>
      <c r="E484" s="13">
        <f t="shared" si="85"/>
        <v>41437.226712328767</v>
      </c>
      <c r="F484" s="3">
        <v>135.43</v>
      </c>
      <c r="G484" s="3">
        <f t="shared" si="91"/>
        <v>7.3838883556080628</v>
      </c>
      <c r="H484" s="3">
        <v>1</v>
      </c>
      <c r="I484" s="3">
        <f>G484*SUM(R290:R292)</f>
        <v>18.422801447242119</v>
      </c>
      <c r="J484" s="3">
        <v>0</v>
      </c>
      <c r="K484" s="3">
        <v>161.75</v>
      </c>
      <c r="L484" s="15">
        <v>-1000</v>
      </c>
      <c r="M484" s="10">
        <f t="shared" si="94"/>
        <v>1212.7667429668463</v>
      </c>
      <c r="N484" s="3">
        <f>(DATE(2013,6,12)-D484)/365</f>
        <v>0.9068493150684932</v>
      </c>
      <c r="O484" s="12">
        <f t="shared" si="92"/>
        <v>0.21276674296684633</v>
      </c>
      <c r="P484" s="12">
        <f t="shared" si="93"/>
        <v>0.23703731472574563</v>
      </c>
    </row>
    <row r="485" spans="4:16" x14ac:dyDescent="0.25">
      <c r="D485" s="2">
        <v>41198</v>
      </c>
      <c r="E485" s="13">
        <f t="shared" ca="1" si="85"/>
        <v>41623.29109589041</v>
      </c>
      <c r="F485" s="3">
        <v>145.54</v>
      </c>
      <c r="G485" s="3">
        <f t="shared" si="91"/>
        <v>6.8709633090559299</v>
      </c>
      <c r="H485" s="3">
        <v>1</v>
      </c>
      <c r="I485" s="3">
        <f>G485*SUM(R291:R294)</f>
        <v>23.31317850762677</v>
      </c>
      <c r="J485" s="3">
        <v>0</v>
      </c>
      <c r="K485" s="3">
        <f>'Data (ignore)'!$B$1188</f>
        <v>178.13</v>
      </c>
      <c r="L485" s="15">
        <v>-1000</v>
      </c>
      <c r="M485" s="10">
        <f t="shared" si="94"/>
        <v>1247.2378727497596</v>
      </c>
      <c r="N485" s="3">
        <f t="shared" ca="1" si="95"/>
        <v>1.1643835616438356</v>
      </c>
      <c r="O485" s="12">
        <f t="shared" si="92"/>
        <v>0.24723787274975961</v>
      </c>
      <c r="P485" s="12">
        <f t="shared" ca="1" si="93"/>
        <v>0.2089365496643214</v>
      </c>
    </row>
    <row r="486" spans="4:16" x14ac:dyDescent="0.25">
      <c r="D486" s="2">
        <v>41283</v>
      </c>
      <c r="E486" s="13">
        <f t="shared" ca="1" si="85"/>
        <v>41623.232876712325</v>
      </c>
      <c r="F486" s="3">
        <v>145.91999999999999</v>
      </c>
      <c r="G486" s="3">
        <f t="shared" si="91"/>
        <v>6.8530701754385968</v>
      </c>
      <c r="H486" s="3">
        <v>1</v>
      </c>
      <c r="I486" s="3">
        <f>G486*SUM(R292:R294)</f>
        <v>16.248629385964914</v>
      </c>
      <c r="J486" s="3">
        <v>0</v>
      </c>
      <c r="K486" s="3">
        <f>'Data (ignore)'!$B$1188</f>
        <v>178.13</v>
      </c>
      <c r="L486" s="15">
        <v>-1000</v>
      </c>
      <c r="M486" s="10">
        <f t="shared" si="94"/>
        <v>1236.9860197368421</v>
      </c>
      <c r="N486" s="3">
        <f t="shared" ca="1" si="95"/>
        <v>0.93150684931506844</v>
      </c>
      <c r="O486" s="12">
        <f t="shared" si="92"/>
        <v>0.23698601973684208</v>
      </c>
      <c r="P486" s="12">
        <f t="shared" ca="1" si="93"/>
        <v>0.25648214087405141</v>
      </c>
    </row>
    <row r="487" spans="4:16" x14ac:dyDescent="0.25">
      <c r="D487" s="2">
        <v>41283</v>
      </c>
      <c r="E487" s="13">
        <f t="shared" ca="1" si="85"/>
        <v>41623.232876712325</v>
      </c>
      <c r="F487" s="3">
        <v>145.91999999999999</v>
      </c>
      <c r="G487" s="3">
        <f t="shared" si="91"/>
        <v>6.8530701754385968</v>
      </c>
      <c r="H487" s="3">
        <v>1</v>
      </c>
      <c r="I487" s="3">
        <f>G487*SUM(R292:R294)</f>
        <v>16.248629385964914</v>
      </c>
      <c r="J487" s="3">
        <v>0</v>
      </c>
      <c r="K487" s="3">
        <f>'Data (ignore)'!$B$1188</f>
        <v>178.13</v>
      </c>
      <c r="L487" s="15">
        <v>-1000</v>
      </c>
      <c r="M487" s="10">
        <f t="shared" si="94"/>
        <v>1236.9860197368421</v>
      </c>
      <c r="N487" s="3">
        <f t="shared" ca="1" si="95"/>
        <v>0.93150684931506844</v>
      </c>
      <c r="O487" s="12">
        <f t="shared" si="92"/>
        <v>0.23698601973684208</v>
      </c>
      <c r="P487" s="12">
        <f t="shared" ca="1" si="93"/>
        <v>0.25648214087405141</v>
      </c>
    </row>
    <row r="488" spans="4:16" x14ac:dyDescent="0.25">
      <c r="D488" s="2">
        <v>41283</v>
      </c>
      <c r="E488" s="13">
        <f t="shared" ca="1" si="85"/>
        <v>41623.232876712325</v>
      </c>
      <c r="F488" s="3">
        <v>145.91999999999999</v>
      </c>
      <c r="G488" s="3">
        <f t="shared" si="91"/>
        <v>6.8530701754385968</v>
      </c>
      <c r="H488" s="3">
        <v>1</v>
      </c>
      <c r="I488" s="3">
        <f>G488*SUM(R292:R294)</f>
        <v>16.248629385964914</v>
      </c>
      <c r="J488" s="3">
        <v>0</v>
      </c>
      <c r="K488" s="3">
        <f>'Data (ignore)'!$B$1188</f>
        <v>178.13</v>
      </c>
      <c r="L488" s="15">
        <v>-1000</v>
      </c>
      <c r="M488" s="10">
        <f t="shared" si="94"/>
        <v>1236.9860197368421</v>
      </c>
      <c r="N488" s="3">
        <f t="shared" ca="1" si="95"/>
        <v>0.93150684931506844</v>
      </c>
      <c r="O488" s="12">
        <f t="shared" si="92"/>
        <v>0.23698601973684208</v>
      </c>
      <c r="P488" s="12">
        <f t="shared" ca="1" si="93"/>
        <v>0.25648214087405141</v>
      </c>
    </row>
    <row r="489" spans="4:16" x14ac:dyDescent="0.25">
      <c r="D489" s="2">
        <v>41283</v>
      </c>
      <c r="E489" s="13">
        <f t="shared" ca="1" si="85"/>
        <v>41623.232876712325</v>
      </c>
      <c r="F489" s="3">
        <v>145.91999999999999</v>
      </c>
      <c r="G489" s="3">
        <f t="shared" si="91"/>
        <v>6.8530701754385968</v>
      </c>
      <c r="H489" s="3">
        <v>1</v>
      </c>
      <c r="I489" s="3">
        <f>G489*SUM(R292:R294)</f>
        <v>16.248629385964914</v>
      </c>
      <c r="J489" s="3">
        <v>0</v>
      </c>
      <c r="K489" s="3">
        <f>'Data (ignore)'!$B$1188</f>
        <v>178.13</v>
      </c>
      <c r="L489" s="15">
        <v>-1000</v>
      </c>
      <c r="M489" s="10">
        <f t="shared" si="94"/>
        <v>1236.9860197368421</v>
      </c>
      <c r="N489" s="3">
        <f t="shared" ca="1" si="95"/>
        <v>0.93150684931506844</v>
      </c>
      <c r="O489" s="12">
        <f t="shared" si="92"/>
        <v>0.23698601973684208</v>
      </c>
      <c r="P489" s="12">
        <f t="shared" ca="1" si="93"/>
        <v>0.25648214087405141</v>
      </c>
    </row>
    <row r="490" spans="4:16" x14ac:dyDescent="0.25">
      <c r="D490" s="2">
        <v>41283</v>
      </c>
      <c r="E490" s="13">
        <f t="shared" ca="1" si="85"/>
        <v>41623.232876712325</v>
      </c>
      <c r="F490" s="3">
        <v>145.91999999999999</v>
      </c>
      <c r="G490" s="3">
        <f t="shared" si="91"/>
        <v>6.8530701754385968</v>
      </c>
      <c r="H490" s="3">
        <v>1</v>
      </c>
      <c r="I490" s="3">
        <f>G490*SUM(R292:R294)</f>
        <v>16.248629385964914</v>
      </c>
      <c r="J490" s="3">
        <v>0</v>
      </c>
      <c r="K490" s="3">
        <f>'Data (ignore)'!$B$1188</f>
        <v>178.13</v>
      </c>
      <c r="L490" s="15">
        <v>-1000</v>
      </c>
      <c r="M490" s="10">
        <f t="shared" si="94"/>
        <v>1236.9860197368421</v>
      </c>
      <c r="N490" s="3">
        <f t="shared" ca="1" si="95"/>
        <v>0.93150684931506844</v>
      </c>
      <c r="O490" s="12">
        <f t="shared" si="92"/>
        <v>0.23698601973684208</v>
      </c>
      <c r="P490" s="12">
        <f t="shared" ca="1" si="93"/>
        <v>0.25648214087405141</v>
      </c>
    </row>
    <row r="491" spans="4:16" x14ac:dyDescent="0.25">
      <c r="D491" s="2">
        <v>41283</v>
      </c>
      <c r="E491" s="13">
        <f t="shared" ca="1" si="85"/>
        <v>41623.232876712325</v>
      </c>
      <c r="F491" s="3">
        <v>145.91999999999999</v>
      </c>
      <c r="G491" s="3">
        <f t="shared" si="91"/>
        <v>6.8530701754385968</v>
      </c>
      <c r="H491" s="3">
        <v>1</v>
      </c>
      <c r="I491" s="3">
        <f>G491*SUM(R292:R294)</f>
        <v>16.248629385964914</v>
      </c>
      <c r="J491" s="3">
        <v>0</v>
      </c>
      <c r="K491" s="3">
        <f>'Data (ignore)'!$B$1188</f>
        <v>178.13</v>
      </c>
      <c r="L491" s="15">
        <v>-1000</v>
      </c>
      <c r="M491" s="10">
        <f t="shared" si="94"/>
        <v>1236.9860197368421</v>
      </c>
      <c r="N491" s="3">
        <f t="shared" ca="1" si="95"/>
        <v>0.93150684931506844</v>
      </c>
      <c r="O491" s="12">
        <f t="shared" si="92"/>
        <v>0.23698601973684208</v>
      </c>
      <c r="P491" s="12">
        <f t="shared" ca="1" si="93"/>
        <v>0.25648214087405141</v>
      </c>
    </row>
    <row r="492" spans="4:16" x14ac:dyDescent="0.25">
      <c r="D492" s="2">
        <v>41312</v>
      </c>
      <c r="E492" s="13">
        <f t="shared" ca="1" si="85"/>
        <v>41623.213013698631</v>
      </c>
      <c r="F492" s="3">
        <v>150.96</v>
      </c>
      <c r="G492" s="3">
        <f t="shared" si="91"/>
        <v>6.6242713301536824</v>
      </c>
      <c r="H492" s="3">
        <v>1</v>
      </c>
      <c r="I492" s="3">
        <f>G492*SUM(R292:R294)</f>
        <v>15.706147323794381</v>
      </c>
      <c r="J492" s="3">
        <v>0</v>
      </c>
      <c r="K492" s="3">
        <f>'Data (ignore)'!$B$1188</f>
        <v>178.13</v>
      </c>
      <c r="L492" s="15">
        <v>-1000</v>
      </c>
      <c r="M492" s="10">
        <f t="shared" si="94"/>
        <v>1195.6875993640697</v>
      </c>
      <c r="N492" s="3">
        <f t="shared" ca="1" si="95"/>
        <v>0.852054794520548</v>
      </c>
      <c r="O492" s="12">
        <f t="shared" si="92"/>
        <v>0.19568759936406968</v>
      </c>
      <c r="P492" s="12">
        <f t="shared" ca="1" si="93"/>
        <v>0.23337391114241623</v>
      </c>
    </row>
    <row r="493" spans="4:16" x14ac:dyDescent="0.25">
      <c r="D493" s="2">
        <v>41330</v>
      </c>
      <c r="E493" s="13">
        <f t="shared" ca="1" si="85"/>
        <v>41623.200684931508</v>
      </c>
      <c r="F493" s="3">
        <v>149</v>
      </c>
      <c r="G493" s="3">
        <f t="shared" si="91"/>
        <v>6.7114093959731544</v>
      </c>
      <c r="H493" s="3">
        <v>1</v>
      </c>
      <c r="I493" s="3">
        <f>G493*SUM(R292:R294)</f>
        <v>15.912751677852349</v>
      </c>
      <c r="J493" s="3">
        <v>0</v>
      </c>
      <c r="K493" s="3">
        <f>'Data (ignore)'!$B$1188</f>
        <v>178.13</v>
      </c>
      <c r="L493" s="15">
        <v>-1000</v>
      </c>
      <c r="M493" s="10">
        <f t="shared" si="94"/>
        <v>1211.4161073825503</v>
      </c>
      <c r="N493" s="3">
        <f t="shared" ca="1" si="95"/>
        <v>0.80273972602739729</v>
      </c>
      <c r="O493" s="12">
        <f t="shared" si="92"/>
        <v>0.21141610738255032</v>
      </c>
      <c r="P493" s="12">
        <f t="shared" ca="1" si="93"/>
        <v>0.26987605116320634</v>
      </c>
    </row>
    <row r="494" spans="4:16" x14ac:dyDescent="0.25">
      <c r="D494" s="2">
        <v>41347</v>
      </c>
      <c r="E494" s="13">
        <f t="shared" ca="1" si="85"/>
        <v>41623.189041095888</v>
      </c>
      <c r="F494" s="3">
        <v>156.72999999999999</v>
      </c>
      <c r="G494" s="3">
        <f t="shared" si="91"/>
        <v>6.3803994130032544</v>
      </c>
      <c r="H494" s="3">
        <v>1</v>
      </c>
      <c r="I494" s="3">
        <f>G494*SUM(R292:R294)</f>
        <v>15.127927008230715</v>
      </c>
      <c r="J494" s="3">
        <v>0</v>
      </c>
      <c r="K494" s="3">
        <f>'Data (ignore)'!$B$1188</f>
        <v>178.13</v>
      </c>
      <c r="L494" s="15">
        <v>-1000</v>
      </c>
      <c r="M494" s="10">
        <f t="shared" si="94"/>
        <v>1151.6684744465003</v>
      </c>
      <c r="N494" s="3">
        <f t="shared" ca="1" si="95"/>
        <v>0.75616438356164384</v>
      </c>
      <c r="O494" s="12">
        <f t="shared" si="92"/>
        <v>0.15166847444650033</v>
      </c>
      <c r="P494" s="12">
        <f t="shared" ca="1" si="93"/>
        <v>0.2053227910722375</v>
      </c>
    </row>
    <row r="495" spans="4:16" x14ac:dyDescent="0.25">
      <c r="D495" s="2">
        <v>41347</v>
      </c>
      <c r="E495" s="13">
        <f t="shared" ca="1" si="85"/>
        <v>41623.189041095888</v>
      </c>
      <c r="F495" s="3">
        <v>156.72999999999999</v>
      </c>
      <c r="G495" s="3">
        <f t="shared" si="91"/>
        <v>6.3803994130032544</v>
      </c>
      <c r="H495" s="3">
        <v>1</v>
      </c>
      <c r="I495" s="3">
        <f>G495/2*SUM(R292:R294)</f>
        <v>7.5639635041153577</v>
      </c>
      <c r="J495" s="3">
        <v>0</v>
      </c>
      <c r="K495" s="3">
        <f>'Data (ignore)'!$B$1188</f>
        <v>178.13</v>
      </c>
      <c r="L495" s="15">
        <v>-1000</v>
      </c>
      <c r="M495" s="10">
        <f>G495/2*166.94+G495/2*K495+(I495)+(J495)</f>
        <v>1108.4061762266319</v>
      </c>
      <c r="N495" s="3">
        <f t="shared" ca="1" si="95"/>
        <v>0.75616438356164384</v>
      </c>
      <c r="O495" s="12">
        <f t="shared" si="92"/>
        <v>0.10840617622663194</v>
      </c>
      <c r="P495" s="12">
        <f t="shared" ca="1" si="93"/>
        <v>0.1458103074885444</v>
      </c>
    </row>
    <row r="496" spans="4:16" x14ac:dyDescent="0.25">
      <c r="D496" s="2">
        <v>41348</v>
      </c>
      <c r="E496" s="13">
        <f t="shared" ca="1" si="85"/>
        <v>41623.188356164384</v>
      </c>
      <c r="F496" s="3">
        <v>155.83000000000001</v>
      </c>
      <c r="G496" s="3">
        <f t="shared" si="91"/>
        <v>6.417249566835654</v>
      </c>
      <c r="H496" s="3">
        <v>1</v>
      </c>
      <c r="I496" s="3">
        <f>G496*SUM(R293:R294)</f>
        <v>10.761727523583392</v>
      </c>
      <c r="J496" s="3">
        <v>0</v>
      </c>
      <c r="K496" s="3">
        <f>'Data (ignore)'!$B$1188</f>
        <v>178.13</v>
      </c>
      <c r="L496" s="15">
        <v>-1000</v>
      </c>
      <c r="M496" s="10">
        <f t="shared" si="94"/>
        <v>1153.8663928640185</v>
      </c>
      <c r="N496" s="3">
        <f t="shared" ca="1" si="95"/>
        <v>0.75342465753424659</v>
      </c>
      <c r="O496" s="12">
        <f t="shared" si="92"/>
        <v>0.15386639286401851</v>
      </c>
      <c r="P496" s="12">
        <f t="shared" ca="1" si="93"/>
        <v>0.20919775559413822</v>
      </c>
    </row>
    <row r="497" spans="3:16" x14ac:dyDescent="0.25">
      <c r="D497" s="2">
        <v>41372</v>
      </c>
      <c r="E497" s="13">
        <f ca="1">D497+(365.25*N497)</f>
        <v>41623.17191780822</v>
      </c>
      <c r="F497" s="3">
        <v>156.21</v>
      </c>
      <c r="G497" s="3">
        <f t="shared" si="91"/>
        <v>6.4016388195378013</v>
      </c>
      <c r="H497" s="3">
        <v>1</v>
      </c>
      <c r="I497" s="3">
        <f>G497*SUM(R293:R294)</f>
        <v>10.735548300364893</v>
      </c>
      <c r="J497" s="3">
        <v>0</v>
      </c>
      <c r="K497" s="3">
        <f>'Data (ignore)'!$B$1188</f>
        <v>178.13</v>
      </c>
      <c r="L497" s="15">
        <v>-1000</v>
      </c>
      <c r="M497" s="10">
        <f t="shared" si="94"/>
        <v>1151.0594712246334</v>
      </c>
      <c r="N497" s="3">
        <f t="shared" ca="1" si="95"/>
        <v>0.68767123287671228</v>
      </c>
      <c r="O497" s="12">
        <f>(M497-1000)/1000</f>
        <v>0.1510594712246334</v>
      </c>
      <c r="P497" s="12">
        <f ca="1">(M497/1000)^(1/N497)-1</f>
        <v>0.22700785830066428</v>
      </c>
    </row>
    <row r="498" spans="3:16" x14ac:dyDescent="0.25">
      <c r="D498" s="2">
        <v>41401</v>
      </c>
      <c r="E498" s="13">
        <f ca="1">D498+(365.25*N498)</f>
        <v>41623.152054794518</v>
      </c>
      <c r="F498" s="3">
        <v>162.6</v>
      </c>
      <c r="G498" s="3">
        <f t="shared" si="91"/>
        <v>6.1500615006150063</v>
      </c>
      <c r="H498" s="3">
        <v>1</v>
      </c>
      <c r="I498" s="3">
        <f>G497*SUM(R293:R294)</f>
        <v>10.735548300364893</v>
      </c>
      <c r="J498" s="3">
        <v>0</v>
      </c>
      <c r="K498" s="3">
        <f>'Data (ignore)'!$B$1188</f>
        <v>178.13</v>
      </c>
      <c r="M498" s="10">
        <f t="shared" si="94"/>
        <v>1106.2460034049159</v>
      </c>
      <c r="N498" s="3">
        <f t="shared" ca="1" si="95"/>
        <v>0.60821917808219184</v>
      </c>
      <c r="O498" s="12">
        <f>(M498-1000)/1000</f>
        <v>0.10624600340491588</v>
      </c>
      <c r="P498" s="12">
        <f ca="1">(M498/1000)^(1/N498)-1</f>
        <v>0.18058847679988044</v>
      </c>
    </row>
    <row r="499" spans="3:16" x14ac:dyDescent="0.25">
      <c r="D499" s="2">
        <v>41401</v>
      </c>
      <c r="E499" s="13">
        <f ca="1">D499+(365.25*N499)</f>
        <v>41623.152054794518</v>
      </c>
      <c r="F499" s="3">
        <v>162.6</v>
      </c>
      <c r="G499" s="3">
        <f t="shared" si="91"/>
        <v>6.1500615006150063</v>
      </c>
      <c r="H499" s="3">
        <v>1</v>
      </c>
      <c r="I499" s="3">
        <f>G497*SUM(R293:R294)</f>
        <v>10.735548300364893</v>
      </c>
      <c r="J499" s="3">
        <v>0</v>
      </c>
      <c r="K499" s="3">
        <f>'Data (ignore)'!$B$1188</f>
        <v>178.13</v>
      </c>
      <c r="M499" s="10">
        <f t="shared" si="94"/>
        <v>1106.2460034049159</v>
      </c>
      <c r="N499" s="3">
        <f t="shared" ca="1" si="95"/>
        <v>0.60821917808219184</v>
      </c>
      <c r="O499" s="12">
        <f>(M499-1000)/1000</f>
        <v>0.10624600340491588</v>
      </c>
      <c r="P499" s="12">
        <f ca="1">(M499/1000)^(1/N499)-1</f>
        <v>0.18058847679988044</v>
      </c>
    </row>
    <row r="500" spans="3:16" x14ac:dyDescent="0.25">
      <c r="D500" s="2"/>
      <c r="F500" s="3"/>
      <c r="G500" s="3"/>
      <c r="H500" s="3"/>
      <c r="I500" s="3"/>
      <c r="J500" s="3"/>
      <c r="K500" s="3"/>
      <c r="M500" s="10"/>
      <c r="N500" s="3"/>
      <c r="O500" s="3"/>
      <c r="P500" s="3"/>
    </row>
    <row r="501" spans="3:16" x14ac:dyDescent="0.25">
      <c r="C501" t="s">
        <v>640</v>
      </c>
      <c r="G501" s="23"/>
      <c r="I501" s="23">
        <f>I12</f>
        <v>196000</v>
      </c>
      <c r="J501" t="s">
        <v>634</v>
      </c>
      <c r="K501" s="3"/>
      <c r="M501" s="26">
        <f>SUM(M304:M499)</f>
        <v>282387.94847032172</v>
      </c>
      <c r="N501" s="3"/>
      <c r="O501" s="3"/>
      <c r="P501" s="3"/>
    </row>
    <row r="502" spans="3:16" x14ac:dyDescent="0.25">
      <c r="D502" s="2"/>
      <c r="F502" s="3"/>
      <c r="G502" s="3"/>
      <c r="H502" s="3"/>
      <c r="I502" s="3"/>
      <c r="J502" s="3"/>
      <c r="K502" s="3"/>
      <c r="M502" s="10"/>
      <c r="N502" s="3"/>
      <c r="O502" s="3"/>
      <c r="P502" s="3"/>
    </row>
    <row r="503" spans="3:16" x14ac:dyDescent="0.25">
      <c r="D503" s="2"/>
      <c r="F503" s="3"/>
      <c r="G503" s="3"/>
      <c r="H503" s="3"/>
      <c r="I503" s="3"/>
      <c r="J503" s="3"/>
      <c r="K503" s="3"/>
      <c r="M503" s="10"/>
      <c r="N503" s="3"/>
      <c r="O503" s="3"/>
      <c r="P503" s="3"/>
    </row>
    <row r="504" spans="3:16" x14ac:dyDescent="0.25">
      <c r="D504" s="2"/>
      <c r="F504" s="3"/>
      <c r="G504" s="3"/>
      <c r="H504" s="3"/>
      <c r="I504" s="3"/>
      <c r="J504" s="3"/>
      <c r="K504" s="3"/>
      <c r="M504" s="10"/>
      <c r="N504" s="3"/>
      <c r="O504" s="3"/>
      <c r="P504" s="3"/>
    </row>
    <row r="505" spans="3:16" x14ac:dyDescent="0.25">
      <c r="D505" s="2"/>
      <c r="F505" s="3"/>
      <c r="G505" s="3"/>
      <c r="H505" s="3"/>
      <c r="I505" s="3"/>
      <c r="J505" s="3"/>
      <c r="K505" s="3"/>
      <c r="M505" s="18" t="s">
        <v>508</v>
      </c>
      <c r="N505" s="19">
        <f ca="1">XIRR(L304:M499, D304:E499,)</f>
        <v>7.3405459523201003E-2</v>
      </c>
      <c r="O505" s="3"/>
      <c r="P505" s="3"/>
    </row>
    <row r="506" spans="3:16" x14ac:dyDescent="0.25">
      <c r="D506" s="2"/>
      <c r="F506" s="3"/>
      <c r="G506" s="3"/>
      <c r="H506" s="3"/>
      <c r="I506" s="3"/>
      <c r="J506" s="3"/>
      <c r="K506" s="3"/>
      <c r="M506" s="10"/>
      <c r="N506" s="3"/>
      <c r="O506" s="3"/>
      <c r="P506" s="3"/>
    </row>
    <row r="507" spans="3:16" x14ac:dyDescent="0.25">
      <c r="D507" s="2"/>
      <c r="F507" s="3"/>
      <c r="G507" s="3"/>
      <c r="H507" s="3"/>
      <c r="I507" s="3"/>
      <c r="J507" s="3"/>
      <c r="K507" s="3"/>
      <c r="M507" s="18"/>
      <c r="N507" s="19"/>
      <c r="O507" s="3"/>
      <c r="P507" s="3"/>
    </row>
    <row r="508" spans="3:16" x14ac:dyDescent="0.25">
      <c r="D508" s="2"/>
      <c r="F508" s="3"/>
      <c r="G508" s="3"/>
      <c r="H508" s="3"/>
      <c r="I508" s="3"/>
      <c r="J508" s="3"/>
      <c r="K508" s="3"/>
      <c r="M508" s="10"/>
      <c r="N508" s="3"/>
      <c r="O508" s="3"/>
      <c r="P508" s="3"/>
    </row>
    <row r="509" spans="3:16" x14ac:dyDescent="0.25">
      <c r="D509" s="2"/>
      <c r="F509" s="3"/>
      <c r="G509" s="3"/>
      <c r="H509" s="3"/>
      <c r="I509" s="3"/>
      <c r="J509" s="3"/>
      <c r="K509" s="3"/>
      <c r="M509" s="10"/>
      <c r="N509" s="3"/>
      <c r="O509" s="3"/>
      <c r="P509" s="3"/>
    </row>
    <row r="510" spans="3:16" x14ac:dyDescent="0.25">
      <c r="D510" s="2"/>
      <c r="F510" s="3"/>
      <c r="G510" s="3"/>
      <c r="H510" s="3"/>
      <c r="I510" s="3"/>
      <c r="J510" s="3"/>
      <c r="K510" s="3"/>
      <c r="M510" s="10"/>
      <c r="N510" s="3"/>
      <c r="O510" s="3"/>
      <c r="P510" s="3"/>
    </row>
    <row r="511" spans="3:16" x14ac:dyDescent="0.25">
      <c r="D511" s="2"/>
      <c r="F511" s="3"/>
      <c r="G511" s="3"/>
      <c r="H511" s="3"/>
      <c r="I511" s="3"/>
      <c r="J511" s="3"/>
      <c r="K511" s="3"/>
      <c r="M511" s="10"/>
      <c r="N511" s="3"/>
      <c r="O511" s="3"/>
      <c r="P511" s="3"/>
    </row>
    <row r="512" spans="3:16" x14ac:dyDescent="0.25">
      <c r="D512" s="2"/>
      <c r="F512" s="3"/>
      <c r="G512" s="3"/>
      <c r="H512" s="3"/>
      <c r="I512" s="3"/>
      <c r="J512" s="3"/>
      <c r="K512" s="3"/>
      <c r="M512" s="10"/>
      <c r="N512" s="3"/>
      <c r="O512" s="3"/>
      <c r="P512" s="3"/>
    </row>
    <row r="513" spans="4:16" x14ac:dyDescent="0.25">
      <c r="D513" s="2"/>
      <c r="F513" s="3"/>
      <c r="G513" s="3"/>
      <c r="H513" s="3"/>
      <c r="I513" s="3"/>
      <c r="J513" s="3"/>
      <c r="K513" s="3"/>
      <c r="M513" s="10"/>
      <c r="N513" s="3"/>
      <c r="O513" s="3"/>
      <c r="P513" s="3"/>
    </row>
    <row r="514" spans="4:16" x14ac:dyDescent="0.25">
      <c r="D514" s="2"/>
      <c r="F514" s="3"/>
      <c r="G514" s="3"/>
      <c r="H514" s="3"/>
      <c r="I514" s="3"/>
      <c r="J514" s="3"/>
      <c r="K514" s="3"/>
      <c r="M514" s="10"/>
      <c r="N514" s="3"/>
      <c r="O514" s="3"/>
      <c r="P514" s="3"/>
    </row>
    <row r="515" spans="4:16" x14ac:dyDescent="0.25">
      <c r="D515" s="2"/>
      <c r="F515" s="3"/>
      <c r="G515" s="3"/>
      <c r="H515" s="3"/>
      <c r="I515" s="3"/>
      <c r="J515" s="3"/>
      <c r="K515" s="3"/>
      <c r="M515" s="10"/>
      <c r="N515" s="3"/>
      <c r="O515" s="3"/>
      <c r="P515" s="3"/>
    </row>
    <row r="516" spans="4:16" x14ac:dyDescent="0.25">
      <c r="D516" s="2"/>
      <c r="F516" s="3"/>
      <c r="G516" s="3"/>
      <c r="H516" s="3"/>
      <c r="I516" s="3"/>
      <c r="J516" s="3"/>
      <c r="K516" s="3"/>
      <c r="M516" s="10"/>
      <c r="N516" s="3"/>
      <c r="O516" s="3"/>
      <c r="P516" s="3"/>
    </row>
    <row r="517" spans="4:16" x14ac:dyDescent="0.25">
      <c r="D517" s="2"/>
      <c r="F517" s="3"/>
      <c r="G517" s="3"/>
      <c r="H517" s="3"/>
      <c r="I517" s="3"/>
      <c r="J517" s="3"/>
      <c r="K517" s="3"/>
      <c r="M517" s="10"/>
      <c r="N517" s="3"/>
      <c r="O517" s="3"/>
      <c r="P517" s="3"/>
    </row>
    <row r="518" spans="4:16" x14ac:dyDescent="0.25">
      <c r="D518" s="2"/>
      <c r="F518" s="3"/>
      <c r="G518" s="3"/>
      <c r="H518" s="3"/>
      <c r="I518" s="3"/>
      <c r="J518" s="3"/>
      <c r="K518" s="3"/>
      <c r="M518" s="10"/>
      <c r="N518" s="3"/>
      <c r="O518" s="3"/>
      <c r="P518" s="3"/>
    </row>
    <row r="519" spans="4:16" x14ac:dyDescent="0.25">
      <c r="D519" s="2"/>
      <c r="F519" s="3"/>
      <c r="G519" s="3"/>
      <c r="H519" s="3"/>
      <c r="I519" s="3"/>
      <c r="J519" s="3"/>
      <c r="K519" s="3"/>
      <c r="M519" s="10"/>
      <c r="N519" s="3"/>
      <c r="O519" s="3"/>
      <c r="P519" s="3"/>
    </row>
    <row r="520" spans="4:16" x14ac:dyDescent="0.25">
      <c r="D520" s="2"/>
      <c r="F520" s="3"/>
      <c r="G520" s="3"/>
      <c r="H520" s="3"/>
      <c r="I520" s="3"/>
      <c r="J520" s="3"/>
      <c r="K520" s="3"/>
      <c r="M520" s="10"/>
      <c r="N520" s="3"/>
      <c r="O520" s="3"/>
      <c r="P520" s="3"/>
    </row>
    <row r="521" spans="4:16" x14ac:dyDescent="0.25">
      <c r="D521" s="2"/>
      <c r="F521" s="3"/>
      <c r="G521" s="3"/>
      <c r="H521" s="3"/>
      <c r="I521" s="3"/>
      <c r="J521" s="3"/>
      <c r="K521" s="3"/>
      <c r="M521" s="10"/>
      <c r="N521" s="3"/>
      <c r="O521" s="3"/>
      <c r="P521" s="3"/>
    </row>
    <row r="522" spans="4:16" x14ac:dyDescent="0.25">
      <c r="D522" s="2"/>
      <c r="F522" s="3"/>
      <c r="G522" s="3"/>
      <c r="H522" s="3"/>
      <c r="I522" s="3"/>
      <c r="J522" s="3"/>
      <c r="K522" s="3"/>
      <c r="M522" s="10"/>
      <c r="N522" s="3"/>
      <c r="O522" s="3"/>
      <c r="P522" s="3"/>
    </row>
    <row r="523" spans="4:16" x14ac:dyDescent="0.25">
      <c r="D523" s="2"/>
      <c r="F523" s="3"/>
      <c r="G523" s="3"/>
      <c r="H523" s="3"/>
      <c r="I523" s="3"/>
      <c r="J523" s="3"/>
      <c r="K523" s="3"/>
      <c r="M523" s="10"/>
      <c r="N523" s="3"/>
      <c r="O523" s="3"/>
      <c r="P523" s="3"/>
    </row>
    <row r="524" spans="4:16" x14ac:dyDescent="0.25">
      <c r="D524" s="2"/>
      <c r="F524" s="3"/>
      <c r="G524" s="3"/>
      <c r="H524" s="3"/>
      <c r="I524" s="3"/>
      <c r="J524" s="3"/>
      <c r="K524" s="3"/>
      <c r="M524" s="10"/>
      <c r="N524" s="3"/>
      <c r="O524" s="3"/>
      <c r="P524" s="3"/>
    </row>
    <row r="525" spans="4:16" x14ac:dyDescent="0.25">
      <c r="D525" s="2"/>
      <c r="F525" s="3"/>
      <c r="G525" s="3"/>
      <c r="H525" s="3"/>
      <c r="I525" s="3"/>
      <c r="J525" s="3"/>
      <c r="K525" s="3"/>
      <c r="M525" s="10"/>
      <c r="N525" s="3"/>
      <c r="O525" s="3"/>
      <c r="P525" s="3"/>
    </row>
    <row r="526" spans="4:16" x14ac:dyDescent="0.25">
      <c r="D526" s="2"/>
      <c r="F526" s="3"/>
      <c r="G526" s="3"/>
      <c r="H526" s="3"/>
      <c r="I526" s="3"/>
      <c r="J526" s="3"/>
      <c r="K526" s="3"/>
      <c r="M526" s="10"/>
      <c r="N526" s="3"/>
      <c r="O526" s="3"/>
      <c r="P526" s="3"/>
    </row>
    <row r="527" spans="4:16" x14ac:dyDescent="0.25">
      <c r="D527" s="2"/>
      <c r="F527" s="3"/>
      <c r="G527" s="3"/>
      <c r="H527" s="3"/>
      <c r="I527" s="3"/>
      <c r="J527" s="3"/>
      <c r="K527" s="3"/>
      <c r="M527" s="10"/>
      <c r="N527" s="3"/>
      <c r="O527" s="3"/>
      <c r="P527" s="3"/>
    </row>
    <row r="528" spans="4:16" x14ac:dyDescent="0.25">
      <c r="D528" s="2"/>
      <c r="F528" s="3"/>
      <c r="G528" s="3"/>
      <c r="H528" s="3"/>
      <c r="I528" s="3"/>
      <c r="J528" s="3"/>
      <c r="K528" s="3"/>
      <c r="M528" s="10"/>
      <c r="N528" s="3"/>
      <c r="O528" s="3"/>
      <c r="P528" s="3"/>
    </row>
    <row r="529" spans="4:16" x14ac:dyDescent="0.25">
      <c r="D529" s="2"/>
      <c r="F529" s="3"/>
      <c r="G529" s="3"/>
      <c r="H529" s="3"/>
      <c r="I529" s="3"/>
      <c r="J529" s="3"/>
      <c r="K529" s="3"/>
      <c r="M529" s="10"/>
      <c r="N529" s="3"/>
      <c r="O529" s="3"/>
      <c r="P529" s="3"/>
    </row>
    <row r="530" spans="4:16" x14ac:dyDescent="0.25">
      <c r="D530" s="2"/>
      <c r="F530" s="3"/>
      <c r="G530" s="3"/>
      <c r="H530" s="3"/>
      <c r="I530" s="3"/>
      <c r="J530" s="3"/>
      <c r="K530" s="3"/>
      <c r="M530" s="10"/>
      <c r="N530" s="3"/>
      <c r="O530" s="3"/>
      <c r="P530" s="3"/>
    </row>
    <row r="531" spans="4:16" x14ac:dyDescent="0.25">
      <c r="D531" s="2"/>
      <c r="F531" s="3"/>
      <c r="G531" s="3"/>
      <c r="H531" s="3"/>
      <c r="I531" s="3"/>
      <c r="J531" s="3"/>
      <c r="K531" s="3"/>
      <c r="M531" s="10"/>
      <c r="N531" s="3"/>
      <c r="O531" s="3"/>
      <c r="P531" s="3"/>
    </row>
    <row r="532" spans="4:16" x14ac:dyDescent="0.25">
      <c r="D532" s="2"/>
      <c r="F532" s="3"/>
      <c r="G532" s="3"/>
      <c r="H532" s="3"/>
      <c r="I532" s="3"/>
      <c r="J532" s="3"/>
      <c r="K532" s="3"/>
      <c r="M532" s="10"/>
      <c r="N532" s="3"/>
      <c r="O532" s="3"/>
      <c r="P532" s="3"/>
    </row>
    <row r="533" spans="4:16" x14ac:dyDescent="0.25">
      <c r="D533" s="2"/>
      <c r="F533" s="3"/>
      <c r="G533" s="3"/>
      <c r="H533" s="3"/>
      <c r="I533" s="3"/>
      <c r="J533" s="3"/>
      <c r="K533" s="3"/>
      <c r="M533" s="10"/>
      <c r="N533" s="3"/>
      <c r="O533" s="3"/>
      <c r="P533" s="3"/>
    </row>
    <row r="534" spans="4:16" x14ac:dyDescent="0.25">
      <c r="D534" s="2"/>
      <c r="F534" s="3"/>
      <c r="G534" s="3"/>
      <c r="H534" s="3"/>
      <c r="I534" s="3"/>
      <c r="J534" s="3"/>
      <c r="K534" s="3"/>
      <c r="M534" s="10"/>
      <c r="N534" s="3"/>
      <c r="O534" s="3"/>
      <c r="P534" s="3"/>
    </row>
    <row r="535" spans="4:16" x14ac:dyDescent="0.25">
      <c r="D535" s="2"/>
      <c r="F535" s="3"/>
      <c r="G535" s="3"/>
      <c r="H535" s="3"/>
      <c r="I535" s="3"/>
      <c r="J535" s="3"/>
      <c r="K535" s="3"/>
      <c r="M535" s="10"/>
      <c r="N535" s="3"/>
      <c r="O535" s="3"/>
      <c r="P535" s="3"/>
    </row>
    <row r="536" spans="4:16" x14ac:dyDescent="0.25">
      <c r="D536" s="2"/>
      <c r="F536" s="3"/>
      <c r="G536" s="3"/>
      <c r="H536" s="3"/>
      <c r="I536" s="3"/>
      <c r="J536" s="3"/>
      <c r="K536" s="3"/>
      <c r="M536" s="10"/>
      <c r="N536" s="3"/>
      <c r="O536" s="3"/>
      <c r="P536" s="3"/>
    </row>
    <row r="537" spans="4:16" x14ac:dyDescent="0.25">
      <c r="D537" s="2"/>
      <c r="F537" s="3"/>
      <c r="G537" s="3"/>
      <c r="H537" s="3"/>
      <c r="I537" s="3"/>
      <c r="J537" s="3"/>
      <c r="K537" s="3"/>
      <c r="M537" s="10"/>
      <c r="N537" s="3"/>
      <c r="O537" s="3"/>
      <c r="P537" s="3"/>
    </row>
    <row r="538" spans="4:16" x14ac:dyDescent="0.25">
      <c r="D538" s="2"/>
      <c r="F538" s="3"/>
      <c r="G538" s="3"/>
      <c r="H538" s="3"/>
      <c r="I538" s="3"/>
      <c r="J538" s="3"/>
      <c r="K538" s="3"/>
      <c r="M538" s="10"/>
      <c r="N538" s="3"/>
      <c r="O538" s="3"/>
      <c r="P538" s="3"/>
    </row>
    <row r="539" spans="4:16" x14ac:dyDescent="0.25">
      <c r="D539" s="2"/>
      <c r="F539" s="3"/>
      <c r="G539" s="3"/>
      <c r="H539" s="3"/>
      <c r="I539" s="3"/>
      <c r="J539" s="3"/>
      <c r="K539" s="3"/>
      <c r="M539" s="10"/>
      <c r="N539" s="3"/>
      <c r="O539" s="3"/>
      <c r="P539" s="3"/>
    </row>
    <row r="540" spans="4:16" x14ac:dyDescent="0.25">
      <c r="D540" s="2"/>
      <c r="F540" s="3"/>
      <c r="G540" s="3"/>
      <c r="H540" s="3"/>
      <c r="I540" s="3"/>
      <c r="J540" s="3"/>
      <c r="K540" s="3"/>
      <c r="M540" s="10"/>
      <c r="N540" s="3"/>
      <c r="O540" s="3"/>
      <c r="P540" s="3"/>
    </row>
    <row r="541" spans="4:16" x14ac:dyDescent="0.25">
      <c r="D541" s="2"/>
      <c r="F541" s="3"/>
      <c r="G541" s="3"/>
      <c r="H541" s="3"/>
      <c r="I541" s="3"/>
      <c r="J541" s="3"/>
      <c r="K541" s="3"/>
      <c r="M541" s="10"/>
      <c r="N541" s="3"/>
      <c r="O541" s="3"/>
      <c r="P541" s="3"/>
    </row>
    <row r="542" spans="4:16" x14ac:dyDescent="0.25">
      <c r="D542" s="2"/>
      <c r="F542" s="3"/>
      <c r="G542" s="3"/>
      <c r="H542" s="3"/>
      <c r="I542" s="3"/>
      <c r="J542" s="3"/>
      <c r="K542" s="3"/>
      <c r="M542" s="10"/>
      <c r="N542" s="3"/>
      <c r="O542" s="3"/>
      <c r="P542" s="3"/>
    </row>
    <row r="543" spans="4:16" x14ac:dyDescent="0.25">
      <c r="D543" s="2"/>
      <c r="F543" s="3"/>
      <c r="G543" s="3"/>
      <c r="H543" s="3"/>
      <c r="I543" s="3"/>
      <c r="J543" s="3"/>
      <c r="K543" s="3"/>
      <c r="M543" s="10"/>
      <c r="N543" s="3"/>
      <c r="O543" s="3"/>
      <c r="P543" s="3"/>
    </row>
    <row r="544" spans="4:16" x14ac:dyDescent="0.25">
      <c r="D544" s="2"/>
      <c r="F544" s="3"/>
      <c r="G544" s="3"/>
      <c r="H544" s="3"/>
      <c r="I544" s="3"/>
      <c r="J544" s="3"/>
      <c r="K544" s="3"/>
      <c r="M544" s="10"/>
      <c r="N544" s="3"/>
      <c r="O544" s="3"/>
      <c r="P544" s="3"/>
    </row>
    <row r="545" spans="4:16" x14ac:dyDescent="0.25">
      <c r="D545" s="2"/>
      <c r="F545" s="3"/>
      <c r="G545" s="3"/>
      <c r="H545" s="3"/>
      <c r="I545" s="3"/>
      <c r="J545" s="3"/>
      <c r="K545" s="3"/>
      <c r="M545" s="10"/>
      <c r="N545" s="3"/>
      <c r="O545" s="3"/>
      <c r="P545" s="3"/>
    </row>
    <row r="546" spans="4:16" x14ac:dyDescent="0.25">
      <c r="D546" s="2"/>
      <c r="F546" s="3"/>
      <c r="G546" s="3"/>
      <c r="H546" s="3"/>
      <c r="I546" s="3"/>
      <c r="J546" s="3"/>
      <c r="K546" s="3"/>
      <c r="M546" s="10"/>
      <c r="N546" s="3"/>
      <c r="O546" s="3"/>
      <c r="P546" s="3"/>
    </row>
    <row r="547" spans="4:16" x14ac:dyDescent="0.25">
      <c r="D547" s="2"/>
      <c r="F547" s="3"/>
      <c r="G547" s="3"/>
      <c r="H547" s="3"/>
      <c r="I547" s="3"/>
      <c r="J547" s="3"/>
      <c r="K547" s="3"/>
      <c r="M547" s="10"/>
      <c r="N547" s="3"/>
      <c r="O547" s="3"/>
      <c r="P547" s="3"/>
    </row>
    <row r="548" spans="4:16" x14ac:dyDescent="0.25">
      <c r="D548" s="2"/>
      <c r="F548" s="3"/>
      <c r="G548" s="3"/>
      <c r="H548" s="3"/>
      <c r="I548" s="3"/>
      <c r="J548" s="3"/>
      <c r="K548" s="3"/>
      <c r="M548" s="10"/>
      <c r="N548" s="3"/>
      <c r="O548" s="3"/>
      <c r="P548" s="3"/>
    </row>
    <row r="549" spans="4:16" x14ac:dyDescent="0.25">
      <c r="D549" s="2"/>
      <c r="F549" s="3"/>
      <c r="G549" s="3"/>
      <c r="H549" s="3"/>
      <c r="I549" s="3"/>
      <c r="J549" s="3"/>
      <c r="K549" s="3"/>
      <c r="M549" s="10"/>
      <c r="N549" s="3"/>
      <c r="O549" s="3"/>
      <c r="P549" s="3"/>
    </row>
    <row r="550" spans="4:16" x14ac:dyDescent="0.25">
      <c r="D550" s="2"/>
      <c r="F550" s="3"/>
      <c r="G550" s="3"/>
      <c r="H550" s="3"/>
      <c r="I550" s="3"/>
      <c r="J550" s="3"/>
      <c r="K550" s="3"/>
      <c r="M550" s="10"/>
      <c r="N550" s="3"/>
      <c r="O550" s="3"/>
      <c r="P550" s="3"/>
    </row>
    <row r="551" spans="4:16" x14ac:dyDescent="0.25">
      <c r="D551" s="2"/>
      <c r="F551" s="3"/>
      <c r="G551" s="3"/>
      <c r="H551" s="3"/>
      <c r="I551" s="3"/>
      <c r="J551" s="3"/>
      <c r="K551" s="3"/>
      <c r="M551" s="10"/>
      <c r="N551" s="3"/>
      <c r="O551" s="3"/>
      <c r="P551" s="3"/>
    </row>
    <row r="552" spans="4:16" x14ac:dyDescent="0.25">
      <c r="D552" s="2"/>
      <c r="F552" s="3"/>
      <c r="G552" s="3"/>
      <c r="H552" s="3"/>
      <c r="I552" s="3"/>
      <c r="J552" s="3"/>
      <c r="K552" s="3"/>
      <c r="M552" s="10"/>
      <c r="N552" s="3"/>
      <c r="O552" s="3"/>
      <c r="P552" s="3"/>
    </row>
    <row r="553" spans="4:16" x14ac:dyDescent="0.25">
      <c r="D553" s="2"/>
      <c r="F553" s="3"/>
      <c r="G553" s="3"/>
      <c r="H553" s="3"/>
      <c r="I553" s="3"/>
      <c r="J553" s="3"/>
      <c r="K553" s="3"/>
      <c r="M553" s="10"/>
      <c r="N553" s="3"/>
      <c r="O553" s="3"/>
      <c r="P553" s="3"/>
    </row>
    <row r="554" spans="4:16" x14ac:dyDescent="0.25">
      <c r="D554" s="2"/>
      <c r="F554" s="3"/>
      <c r="G554" s="3"/>
      <c r="H554" s="3"/>
      <c r="I554" s="3"/>
      <c r="J554" s="3"/>
      <c r="K554" s="3"/>
      <c r="M554" s="10"/>
      <c r="N554" s="3"/>
      <c r="O554" s="3"/>
      <c r="P554" s="3"/>
    </row>
    <row r="555" spans="4:16" x14ac:dyDescent="0.25">
      <c r="D555" s="2"/>
      <c r="F555" s="3"/>
      <c r="G555" s="3"/>
      <c r="H555" s="3"/>
      <c r="I555" s="3"/>
      <c r="J555" s="3"/>
      <c r="K555" s="3"/>
      <c r="M555" s="10"/>
      <c r="N555" s="3"/>
      <c r="O555" s="3"/>
      <c r="P555" s="3"/>
    </row>
    <row r="556" spans="4:16" x14ac:dyDescent="0.25">
      <c r="D556" s="2"/>
      <c r="F556" s="3"/>
      <c r="G556" s="3"/>
      <c r="H556" s="3"/>
      <c r="I556" s="3"/>
      <c r="J556" s="3"/>
      <c r="K556" s="3"/>
      <c r="M556" s="10"/>
      <c r="N556" s="3"/>
      <c r="O556" s="3"/>
      <c r="P556" s="3"/>
    </row>
    <row r="557" spans="4:16" x14ac:dyDescent="0.25">
      <c r="D557" s="2"/>
      <c r="F557" s="3"/>
      <c r="G557" s="3"/>
      <c r="H557" s="3"/>
      <c r="I557" s="3"/>
      <c r="J557" s="3"/>
      <c r="K557" s="3"/>
      <c r="M557" s="10"/>
      <c r="N557" s="3"/>
      <c r="O557" s="3"/>
      <c r="P557" s="3"/>
    </row>
    <row r="558" spans="4:16" x14ac:dyDescent="0.25">
      <c r="D558" s="2"/>
      <c r="F558" s="3"/>
      <c r="G558" s="3"/>
      <c r="H558" s="3"/>
      <c r="I558" s="3"/>
      <c r="J558" s="3"/>
      <c r="K558" s="3"/>
      <c r="M558" s="10"/>
      <c r="N558" s="3"/>
      <c r="O558" s="3"/>
      <c r="P558" s="3"/>
    </row>
    <row r="559" spans="4:16" x14ac:dyDescent="0.25">
      <c r="D559" s="2"/>
      <c r="F559" s="3"/>
      <c r="G559" s="3"/>
      <c r="H559" s="3"/>
      <c r="I559" s="3"/>
      <c r="J559" s="3"/>
      <c r="K559" s="3"/>
      <c r="M559" s="10"/>
      <c r="N559" s="3"/>
      <c r="O559" s="3"/>
      <c r="P559" s="3"/>
    </row>
    <row r="560" spans="4:16" x14ac:dyDescent="0.25">
      <c r="D560" s="2"/>
      <c r="F560" s="3"/>
      <c r="G560" s="3"/>
      <c r="H560" s="3"/>
      <c r="I560" s="3"/>
      <c r="J560" s="3"/>
      <c r="K560" s="3"/>
      <c r="M560" s="10"/>
      <c r="N560" s="3"/>
      <c r="O560" s="3"/>
      <c r="P560" s="3"/>
    </row>
    <row r="561" spans="4:16" x14ac:dyDescent="0.25">
      <c r="D561" s="2"/>
      <c r="F561" s="3"/>
      <c r="G561" s="3"/>
      <c r="H561" s="3"/>
      <c r="I561" s="3"/>
      <c r="J561" s="3"/>
      <c r="K561" s="3"/>
      <c r="M561" s="10"/>
      <c r="N561" s="3"/>
      <c r="O561" s="3"/>
      <c r="P561" s="3"/>
    </row>
    <row r="562" spans="4:16" x14ac:dyDescent="0.25">
      <c r="D562" s="2"/>
      <c r="F562" s="3"/>
      <c r="G562" s="3"/>
      <c r="H562" s="3"/>
      <c r="I562" s="3"/>
      <c r="J562" s="3"/>
      <c r="K562" s="3"/>
      <c r="M562" s="10"/>
      <c r="N562" s="3"/>
      <c r="O562" s="3"/>
      <c r="P562" s="3"/>
    </row>
    <row r="563" spans="4:16" x14ac:dyDescent="0.25">
      <c r="D563" s="2"/>
      <c r="F563" s="3"/>
      <c r="G563" s="3"/>
      <c r="H563" s="3"/>
      <c r="I563" s="3"/>
      <c r="J563" s="3"/>
      <c r="K563" s="3"/>
      <c r="M563" s="10"/>
      <c r="N563" s="3"/>
      <c r="O563" s="3"/>
      <c r="P563" s="3"/>
    </row>
    <row r="564" spans="4:16" x14ac:dyDescent="0.25">
      <c r="D564" s="2"/>
      <c r="F564" s="3"/>
      <c r="G564" s="3"/>
      <c r="H564" s="3"/>
      <c r="I564" s="3"/>
      <c r="J564" s="3"/>
      <c r="K564" s="3"/>
      <c r="M564" s="10"/>
      <c r="N564" s="3"/>
      <c r="O564" s="3"/>
      <c r="P564" s="3"/>
    </row>
    <row r="565" spans="4:16" x14ac:dyDescent="0.25">
      <c r="D565" s="2"/>
      <c r="F565" s="3"/>
      <c r="G565" s="3"/>
      <c r="H565" s="3"/>
      <c r="I565" s="3"/>
      <c r="J565" s="3"/>
      <c r="K565" s="3"/>
      <c r="M565" s="10"/>
      <c r="N565" s="3"/>
      <c r="O565" s="3"/>
      <c r="P565" s="3"/>
    </row>
    <row r="566" spans="4:16" x14ac:dyDescent="0.25">
      <c r="D566" s="2"/>
      <c r="F566" s="3"/>
      <c r="G566" s="3"/>
      <c r="H566" s="3"/>
      <c r="I566" s="3"/>
      <c r="J566" s="3"/>
      <c r="K566" s="3"/>
      <c r="M566" s="10"/>
      <c r="N566" s="3"/>
      <c r="O566" s="3"/>
      <c r="P566" s="3"/>
    </row>
    <row r="567" spans="4:16" x14ac:dyDescent="0.25">
      <c r="D567" s="2"/>
      <c r="F567" s="3"/>
      <c r="G567" s="3"/>
      <c r="H567" s="3"/>
      <c r="I567" s="3"/>
      <c r="J567" s="3"/>
      <c r="K567" s="3"/>
      <c r="M567" s="10"/>
      <c r="N567" s="3"/>
      <c r="O567" s="3"/>
      <c r="P567" s="3"/>
    </row>
    <row r="568" spans="4:16" x14ac:dyDescent="0.25">
      <c r="D568" s="2"/>
      <c r="F568" s="3"/>
      <c r="G568" s="3"/>
      <c r="H568" s="3"/>
      <c r="I568" s="3"/>
      <c r="J568" s="3"/>
      <c r="K568" s="3"/>
      <c r="M568" s="10"/>
      <c r="N568" s="3"/>
      <c r="O568" s="3"/>
      <c r="P568" s="3"/>
    </row>
    <row r="569" spans="4:16" x14ac:dyDescent="0.25">
      <c r="D569" s="2"/>
      <c r="F569" s="3"/>
      <c r="G569" s="3"/>
      <c r="H569" s="3"/>
      <c r="I569" s="3"/>
      <c r="J569" s="3"/>
      <c r="K569" s="3"/>
      <c r="M569" s="10"/>
      <c r="N569" s="3"/>
      <c r="O569" s="3"/>
      <c r="P569" s="3"/>
    </row>
    <row r="570" spans="4:16" x14ac:dyDescent="0.25">
      <c r="D570" s="2"/>
      <c r="F570" s="3"/>
      <c r="G570" s="3"/>
      <c r="H570" s="3"/>
      <c r="I570" s="3"/>
      <c r="J570" s="3"/>
      <c r="K570" s="3"/>
      <c r="M570" s="10"/>
      <c r="N570" s="3"/>
      <c r="O570" s="3"/>
      <c r="P570" s="3"/>
    </row>
    <row r="571" spans="4:16" x14ac:dyDescent="0.25">
      <c r="D571" s="2"/>
      <c r="F571" s="3"/>
      <c r="G571" s="3"/>
      <c r="H571" s="3"/>
      <c r="I571" s="3"/>
      <c r="J571" s="3"/>
      <c r="K571" s="3"/>
      <c r="M571" s="10"/>
      <c r="N571" s="3"/>
      <c r="O571" s="3"/>
      <c r="P571" s="3"/>
    </row>
    <row r="572" spans="4:16" x14ac:dyDescent="0.25">
      <c r="D572" s="2"/>
      <c r="F572" s="3"/>
      <c r="G572" s="3"/>
      <c r="H572" s="3"/>
      <c r="I572" s="3"/>
      <c r="J572" s="3"/>
      <c r="K572" s="3"/>
      <c r="M572" s="10"/>
      <c r="N572" s="3"/>
      <c r="O572" s="3"/>
      <c r="P572" s="3"/>
    </row>
    <row r="573" spans="4:16" x14ac:dyDescent="0.25">
      <c r="D573" s="2"/>
      <c r="F573" s="3"/>
      <c r="G573" s="3"/>
      <c r="H573" s="3"/>
      <c r="I573" s="3"/>
      <c r="J573" s="3"/>
      <c r="K573" s="3"/>
      <c r="M573" s="10"/>
      <c r="N573" s="3"/>
      <c r="O573" s="3"/>
      <c r="P573" s="3"/>
    </row>
    <row r="574" spans="4:16" x14ac:dyDescent="0.25">
      <c r="D574" s="2"/>
      <c r="F574" s="3"/>
      <c r="G574" s="3"/>
      <c r="H574" s="3"/>
      <c r="I574" s="3"/>
      <c r="J574" s="3"/>
      <c r="K574" s="3"/>
      <c r="M574" s="10"/>
      <c r="N574" s="3"/>
      <c r="O574" s="3"/>
      <c r="P574" s="3"/>
    </row>
    <row r="575" spans="4:16" x14ac:dyDescent="0.25">
      <c r="D575" s="2"/>
      <c r="F575" s="3"/>
      <c r="G575" s="3"/>
      <c r="H575" s="3"/>
      <c r="I575" s="3"/>
      <c r="J575" s="3"/>
      <c r="K575" s="3"/>
      <c r="M575" s="10"/>
      <c r="N575" s="3"/>
      <c r="O575" s="3"/>
      <c r="P575" s="3"/>
    </row>
    <row r="576" spans="4:16" x14ac:dyDescent="0.25">
      <c r="D576" s="2"/>
      <c r="F576" s="3"/>
      <c r="G576" s="3"/>
      <c r="H576" s="3"/>
      <c r="I576" s="3"/>
      <c r="J576" s="3"/>
      <c r="K576" s="3"/>
      <c r="M576" s="10"/>
      <c r="N576" s="3"/>
      <c r="O576" s="3"/>
      <c r="P576" s="3"/>
    </row>
    <row r="577" spans="4:16" x14ac:dyDescent="0.25">
      <c r="D577" s="2"/>
      <c r="F577" s="3"/>
      <c r="G577" s="3"/>
      <c r="H577" s="3"/>
      <c r="I577" s="3"/>
      <c r="J577" s="3"/>
      <c r="K577" s="3"/>
      <c r="M577" s="10"/>
      <c r="N577" s="3"/>
      <c r="O577" s="3"/>
      <c r="P577" s="3"/>
    </row>
    <row r="578" spans="4:16" x14ac:dyDescent="0.25">
      <c r="D578" s="2"/>
      <c r="F578" s="3"/>
      <c r="G578" s="3"/>
      <c r="H578" s="3"/>
      <c r="I578" s="3"/>
      <c r="J578" s="3"/>
      <c r="K578" s="3"/>
      <c r="M578" s="10"/>
      <c r="N578" s="3"/>
      <c r="O578" s="3"/>
      <c r="P578" s="3"/>
    </row>
    <row r="579" spans="4:16" x14ac:dyDescent="0.25">
      <c r="D579" s="2"/>
      <c r="F579" s="3"/>
      <c r="G579" s="3"/>
      <c r="H579" s="3"/>
      <c r="I579" s="3"/>
      <c r="J579" s="3"/>
      <c r="K579" s="3"/>
      <c r="M579" s="10"/>
      <c r="N579" s="3"/>
      <c r="O579" s="3"/>
      <c r="P579" s="3"/>
    </row>
    <row r="580" spans="4:16" x14ac:dyDescent="0.25">
      <c r="D580" s="2"/>
      <c r="F580" s="3"/>
      <c r="G580" s="3"/>
      <c r="H580" s="3"/>
      <c r="I580" s="3"/>
      <c r="J580" s="3"/>
      <c r="K580" s="3"/>
      <c r="M580" s="10"/>
      <c r="N580" s="3"/>
      <c r="O580" s="3"/>
      <c r="P580" s="3"/>
    </row>
    <row r="581" spans="4:16" x14ac:dyDescent="0.25">
      <c r="D581" s="2"/>
      <c r="F581" s="3"/>
      <c r="G581" s="3"/>
      <c r="H581" s="3"/>
      <c r="I581" s="3"/>
      <c r="J581" s="3"/>
      <c r="K581" s="3"/>
      <c r="M581" s="10"/>
      <c r="N581" s="3"/>
      <c r="O581" s="3"/>
      <c r="P581" s="3"/>
    </row>
    <row r="582" spans="4:16" x14ac:dyDescent="0.25">
      <c r="D582" s="2"/>
      <c r="F582" s="3"/>
      <c r="G582" s="3"/>
      <c r="H582" s="3"/>
      <c r="I582" s="3"/>
      <c r="J582" s="3"/>
      <c r="K582" s="3"/>
      <c r="M582" s="10"/>
      <c r="N582" s="3"/>
      <c r="O582" s="3"/>
      <c r="P582" s="3"/>
    </row>
    <row r="583" spans="4:16" x14ac:dyDescent="0.25">
      <c r="D583" s="2"/>
      <c r="F583" s="3"/>
      <c r="G583" s="3"/>
      <c r="H583" s="3"/>
      <c r="I583" s="3"/>
      <c r="J583" s="3"/>
      <c r="K583" s="3"/>
      <c r="M583" s="10"/>
      <c r="N583" s="3"/>
      <c r="O583" s="3"/>
      <c r="P583" s="3"/>
    </row>
    <row r="584" spans="4:16" x14ac:dyDescent="0.25">
      <c r="D584" s="2"/>
      <c r="F584" s="3"/>
      <c r="G584" s="3"/>
      <c r="H584" s="3"/>
      <c r="I584" s="3"/>
      <c r="J584" s="3"/>
      <c r="K584" s="3"/>
      <c r="M584" s="10"/>
      <c r="N584" s="3"/>
      <c r="O584" s="3"/>
      <c r="P584" s="3"/>
    </row>
    <row r="585" spans="4:16" x14ac:dyDescent="0.25">
      <c r="D585" s="2"/>
      <c r="F585" s="3"/>
      <c r="G585" s="3"/>
      <c r="H585" s="3"/>
      <c r="I585" s="3"/>
      <c r="J585" s="3"/>
      <c r="K585" s="3"/>
      <c r="M585" s="10"/>
      <c r="N585" s="3"/>
      <c r="O585" s="3"/>
      <c r="P585" s="3"/>
    </row>
    <row r="586" spans="4:16" x14ac:dyDescent="0.25">
      <c r="D586" s="2"/>
      <c r="F586" s="3"/>
      <c r="G586" s="3"/>
      <c r="H586" s="3"/>
      <c r="I586" s="3"/>
      <c r="J586" s="3"/>
      <c r="K586" s="3"/>
      <c r="M586" s="10"/>
      <c r="N586" s="3"/>
      <c r="O586" s="3"/>
      <c r="P586" s="3"/>
    </row>
    <row r="587" spans="4:16" x14ac:dyDescent="0.25">
      <c r="D587" s="2"/>
      <c r="F587" s="3"/>
      <c r="G587" s="3"/>
      <c r="H587" s="3"/>
      <c r="I587" s="3"/>
      <c r="J587" s="3"/>
      <c r="K587" s="3"/>
      <c r="M587" s="10"/>
      <c r="N587" s="3"/>
      <c r="O587" s="3"/>
      <c r="P587" s="3"/>
    </row>
    <row r="588" spans="4:16" x14ac:dyDescent="0.25">
      <c r="D588" s="2"/>
      <c r="F588" s="3"/>
      <c r="G588" s="3"/>
      <c r="H588" s="3"/>
      <c r="I588" s="3"/>
      <c r="J588" s="3"/>
      <c r="K588" s="3"/>
      <c r="M588" s="10"/>
      <c r="N588" s="3"/>
      <c r="O588" s="3"/>
      <c r="P588" s="3"/>
    </row>
    <row r="589" spans="4:16" x14ac:dyDescent="0.25">
      <c r="D589" s="2"/>
      <c r="F589" s="3"/>
      <c r="G589" s="3"/>
      <c r="H589" s="3"/>
      <c r="I589" s="3"/>
      <c r="J589" s="3"/>
      <c r="K589" s="3"/>
      <c r="M589" s="10"/>
      <c r="N589" s="3"/>
      <c r="O589" s="3"/>
      <c r="P589" s="3"/>
    </row>
    <row r="590" spans="4:16" x14ac:dyDescent="0.25">
      <c r="D590" s="2"/>
      <c r="F590" s="3"/>
      <c r="G590" s="3"/>
      <c r="H590" s="3"/>
      <c r="I590" s="3"/>
      <c r="J590" s="3"/>
      <c r="K590" s="3"/>
      <c r="M590" s="10"/>
      <c r="N590" s="3"/>
      <c r="O590" s="3"/>
      <c r="P590" s="3"/>
    </row>
    <row r="591" spans="4:16" x14ac:dyDescent="0.25">
      <c r="D591" s="2"/>
      <c r="F591" s="3"/>
      <c r="G591" s="3"/>
      <c r="H591" s="3"/>
      <c r="I591" s="3"/>
      <c r="J591" s="3"/>
      <c r="K591" s="3"/>
      <c r="M591" s="10"/>
      <c r="N591" s="3"/>
      <c r="O591" s="3"/>
      <c r="P591" s="3"/>
    </row>
    <row r="592" spans="4:16" x14ac:dyDescent="0.25">
      <c r="D592" s="2"/>
      <c r="F592" s="3"/>
      <c r="G592" s="3"/>
      <c r="H592" s="3"/>
      <c r="I592" s="3"/>
      <c r="J592" s="3"/>
      <c r="K592" s="3"/>
      <c r="M592" s="10"/>
      <c r="N592" s="3"/>
      <c r="O592" s="3"/>
      <c r="P592" s="3"/>
    </row>
    <row r="593" spans="4:16" x14ac:dyDescent="0.25">
      <c r="D593" s="2"/>
      <c r="F593" s="3"/>
      <c r="G593" s="3"/>
      <c r="H593" s="3"/>
      <c r="I593" s="3"/>
      <c r="J593" s="3"/>
      <c r="K593" s="3"/>
      <c r="M593" s="10"/>
      <c r="N593" s="3"/>
      <c r="O593" s="3"/>
      <c r="P593" s="3"/>
    </row>
    <row r="594" spans="4:16" x14ac:dyDescent="0.25">
      <c r="D594" s="2"/>
      <c r="F594" s="3"/>
      <c r="G594" s="3"/>
      <c r="H594" s="3"/>
      <c r="I594" s="3"/>
      <c r="J594" s="3"/>
      <c r="K594" s="3"/>
      <c r="M594" s="10"/>
      <c r="N594" s="3"/>
      <c r="O594" s="3"/>
      <c r="P594" s="3"/>
    </row>
    <row r="595" spans="4:16" x14ac:dyDescent="0.25">
      <c r="D595" s="2"/>
      <c r="F595" s="3"/>
      <c r="G595" s="3"/>
      <c r="H595" s="3"/>
      <c r="I595" s="3"/>
      <c r="J595" s="3"/>
      <c r="K595" s="3"/>
      <c r="M595" s="10"/>
      <c r="N595" s="3"/>
      <c r="O595" s="3"/>
      <c r="P595" s="3"/>
    </row>
    <row r="596" spans="4:16" x14ac:dyDescent="0.25">
      <c r="D596" s="2"/>
      <c r="F596" s="3"/>
      <c r="G596" s="3"/>
      <c r="H596" s="3"/>
      <c r="I596" s="3"/>
      <c r="J596" s="3"/>
      <c r="K596" s="3"/>
      <c r="M596" s="10"/>
      <c r="N596" s="3"/>
      <c r="O596" s="3"/>
      <c r="P596" s="3"/>
    </row>
    <row r="597" spans="4:16" x14ac:dyDescent="0.25">
      <c r="D597" s="2"/>
      <c r="F597" s="3"/>
      <c r="G597" s="3"/>
      <c r="H597" s="3"/>
      <c r="I597" s="3"/>
      <c r="J597" s="3"/>
      <c r="K597" s="3"/>
      <c r="M597" s="10"/>
      <c r="N597" s="3"/>
      <c r="O597" s="3"/>
      <c r="P597" s="3"/>
    </row>
    <row r="598" spans="4:16" x14ac:dyDescent="0.25">
      <c r="D598" s="2"/>
      <c r="F598" s="3"/>
      <c r="G598" s="3"/>
      <c r="H598" s="3"/>
      <c r="I598" s="3"/>
      <c r="J598" s="3"/>
      <c r="K598" s="3"/>
      <c r="M598" s="10"/>
      <c r="N598" s="3"/>
      <c r="O598" s="3"/>
      <c r="P598" s="3"/>
    </row>
    <row r="599" spans="4:16" x14ac:dyDescent="0.25">
      <c r="D599" s="2"/>
      <c r="F599" s="3"/>
      <c r="G599" s="3"/>
      <c r="H599" s="3"/>
      <c r="I599" s="3"/>
      <c r="J599" s="3"/>
      <c r="K599" s="3"/>
      <c r="M599" s="10"/>
      <c r="N599" s="3"/>
      <c r="O599" s="3"/>
      <c r="P599" s="3"/>
    </row>
    <row r="600" spans="4:16" x14ac:dyDescent="0.25">
      <c r="D600" s="2"/>
      <c r="F600" s="3"/>
      <c r="G600" s="3"/>
      <c r="H600" s="3"/>
      <c r="I600" s="3"/>
      <c r="J600" s="3"/>
      <c r="K600" s="3"/>
      <c r="M600" s="10"/>
      <c r="N600" s="3"/>
      <c r="O600" s="3"/>
      <c r="P600" s="3"/>
    </row>
    <row r="601" spans="4:16" x14ac:dyDescent="0.25">
      <c r="D601" s="2"/>
      <c r="F601" s="3"/>
      <c r="G601" s="3"/>
      <c r="H601" s="3"/>
      <c r="I601" s="3"/>
      <c r="J601" s="3"/>
      <c r="K601" s="3"/>
      <c r="M601" s="10"/>
      <c r="N601" s="3"/>
      <c r="O601" s="3"/>
      <c r="P601" s="3"/>
    </row>
    <row r="602" spans="4:16" x14ac:dyDescent="0.25">
      <c r="D602" s="2"/>
      <c r="F602" s="3"/>
      <c r="G602" s="3"/>
      <c r="H602" s="3"/>
      <c r="I602" s="3"/>
      <c r="J602" s="3"/>
      <c r="K602" s="3"/>
      <c r="M602" s="10"/>
      <c r="N602" s="3"/>
      <c r="O602" s="3"/>
      <c r="P602" s="3"/>
    </row>
    <row r="603" spans="4:16" x14ac:dyDescent="0.25">
      <c r="D603" s="2"/>
      <c r="F603" s="3"/>
      <c r="G603" s="3"/>
      <c r="H603" s="3"/>
      <c r="I603" s="3"/>
      <c r="J603" s="3"/>
      <c r="K603" s="3"/>
      <c r="M603" s="10"/>
      <c r="N603" s="3"/>
      <c r="O603" s="3"/>
      <c r="P603" s="3"/>
    </row>
    <row r="604" spans="4:16" x14ac:dyDescent="0.25">
      <c r="D604" s="2"/>
      <c r="F604" s="3"/>
      <c r="G604" s="3"/>
      <c r="H604" s="3"/>
      <c r="I604" s="3"/>
      <c r="J604" s="3"/>
      <c r="K604" s="3"/>
      <c r="M604" s="10"/>
      <c r="N604" s="3"/>
      <c r="O604" s="3"/>
      <c r="P604" s="3"/>
    </row>
    <row r="605" spans="4:16" x14ac:dyDescent="0.25">
      <c r="D605" s="2"/>
      <c r="F605" s="3"/>
      <c r="G605" s="3"/>
      <c r="H605" s="3"/>
      <c r="I605" s="3"/>
      <c r="J605" s="3"/>
      <c r="K605" s="3"/>
      <c r="M605" s="10"/>
      <c r="N605" s="3"/>
      <c r="O605" s="3"/>
      <c r="P605" s="3"/>
    </row>
    <row r="606" spans="4:16" x14ac:dyDescent="0.25">
      <c r="D606" s="2"/>
      <c r="F606" s="3"/>
      <c r="G606" s="3"/>
      <c r="H606" s="3"/>
      <c r="I606" s="3"/>
      <c r="J606" s="3"/>
      <c r="K606" s="3"/>
      <c r="M606" s="10"/>
      <c r="N606" s="3"/>
      <c r="O606" s="3"/>
      <c r="P606" s="3"/>
    </row>
    <row r="607" spans="4:16" x14ac:dyDescent="0.25">
      <c r="D607" s="2"/>
      <c r="F607" s="3"/>
      <c r="G607" s="3"/>
      <c r="H607" s="3"/>
      <c r="I607" s="3"/>
      <c r="J607" s="3"/>
      <c r="K607" s="3"/>
      <c r="M607" s="10"/>
      <c r="N607" s="3"/>
      <c r="O607" s="3"/>
      <c r="P607" s="3"/>
    </row>
    <row r="608" spans="4:16" x14ac:dyDescent="0.25">
      <c r="D608" s="2"/>
      <c r="F608" s="3"/>
      <c r="G608" s="3"/>
      <c r="H608" s="3"/>
      <c r="I608" s="3"/>
      <c r="J608" s="3"/>
      <c r="K608" s="3"/>
      <c r="M608" s="10"/>
      <c r="N608" s="3"/>
      <c r="O608" s="3"/>
      <c r="P608" s="3"/>
    </row>
    <row r="609" spans="4:16" x14ac:dyDescent="0.25">
      <c r="D609" s="2"/>
      <c r="F609" s="3"/>
      <c r="G609" s="3"/>
      <c r="H609" s="3"/>
      <c r="I609" s="3"/>
      <c r="J609" s="3"/>
      <c r="K609" s="3"/>
      <c r="M609" s="10"/>
      <c r="N609" s="3"/>
      <c r="O609" s="3"/>
      <c r="P609" s="3"/>
    </row>
    <row r="610" spans="4:16" x14ac:dyDescent="0.25">
      <c r="D610" s="2"/>
      <c r="F610" s="3"/>
      <c r="G610" s="3"/>
      <c r="H610" s="3"/>
      <c r="I610" s="3"/>
      <c r="J610" s="3"/>
      <c r="K610" s="3"/>
      <c r="M610" s="10"/>
      <c r="N610" s="3"/>
      <c r="O610" s="3"/>
      <c r="P610" s="3"/>
    </row>
    <row r="611" spans="4:16" x14ac:dyDescent="0.25">
      <c r="D611" s="2"/>
      <c r="F611" s="3"/>
      <c r="G611" s="3"/>
      <c r="H611" s="3"/>
      <c r="I611" s="3"/>
      <c r="J611" s="3"/>
      <c r="K611" s="3"/>
      <c r="M611" s="10"/>
      <c r="N611" s="3"/>
      <c r="O611" s="3"/>
      <c r="P611" s="3"/>
    </row>
    <row r="612" spans="4:16" x14ac:dyDescent="0.25">
      <c r="D612" s="2"/>
      <c r="F612" s="3"/>
      <c r="G612" s="3"/>
      <c r="H612" s="3"/>
      <c r="I612" s="3"/>
      <c r="J612" s="3"/>
      <c r="K612" s="3"/>
      <c r="M612" s="10"/>
      <c r="N612" s="3"/>
      <c r="O612" s="3"/>
      <c r="P612" s="3"/>
    </row>
    <row r="613" spans="4:16" x14ac:dyDescent="0.25">
      <c r="D613" s="2"/>
      <c r="F613" s="3"/>
      <c r="G613" s="3"/>
      <c r="H613" s="3"/>
      <c r="I613" s="3"/>
      <c r="J613" s="3"/>
      <c r="K613" s="3"/>
      <c r="M613" s="10"/>
      <c r="N613" s="3"/>
      <c r="O613" s="3"/>
      <c r="P613" s="3"/>
    </row>
    <row r="614" spans="4:16" x14ac:dyDescent="0.25">
      <c r="D614" s="2"/>
      <c r="F614" s="3"/>
      <c r="G614" s="3"/>
      <c r="H614" s="3"/>
      <c r="I614" s="3"/>
      <c r="J614" s="3"/>
      <c r="K614" s="3"/>
      <c r="M614" s="10"/>
      <c r="N614" s="3"/>
      <c r="O614" s="3"/>
      <c r="P614" s="3"/>
    </row>
    <row r="615" spans="4:16" x14ac:dyDescent="0.25">
      <c r="D615" s="2"/>
      <c r="F615" s="3"/>
      <c r="G615" s="3"/>
      <c r="H615" s="3"/>
      <c r="I615" s="3"/>
      <c r="J615" s="3"/>
      <c r="K615" s="3"/>
      <c r="M615" s="10"/>
      <c r="N615" s="3"/>
      <c r="O615" s="3"/>
      <c r="P615" s="3"/>
    </row>
    <row r="616" spans="4:16" x14ac:dyDescent="0.25">
      <c r="D616" s="2"/>
      <c r="F616" s="3"/>
      <c r="G616" s="3"/>
      <c r="H616" s="3"/>
      <c r="I616" s="3"/>
      <c r="J616" s="3"/>
      <c r="K616" s="3"/>
      <c r="M616" s="10"/>
      <c r="N616" s="3"/>
      <c r="O616" s="3"/>
      <c r="P616" s="3"/>
    </row>
    <row r="617" spans="4:16" x14ac:dyDescent="0.25">
      <c r="D617" s="2"/>
      <c r="F617" s="3"/>
      <c r="G617" s="3"/>
      <c r="H617" s="3"/>
      <c r="I617" s="3"/>
      <c r="J617" s="3"/>
      <c r="K617" s="3"/>
      <c r="M617" s="10"/>
      <c r="N617" s="3"/>
      <c r="O617" s="3"/>
      <c r="P617" s="3"/>
    </row>
    <row r="618" spans="4:16" x14ac:dyDescent="0.25">
      <c r="D618" s="2"/>
      <c r="F618" s="3"/>
      <c r="G618" s="3"/>
      <c r="H618" s="3"/>
      <c r="I618" s="3"/>
      <c r="J618" s="3"/>
      <c r="K618" s="3"/>
      <c r="M618" s="10"/>
      <c r="N618" s="3"/>
      <c r="O618" s="3"/>
      <c r="P618" s="3"/>
    </row>
    <row r="619" spans="4:16" x14ac:dyDescent="0.25">
      <c r="D619" s="2"/>
      <c r="F619" s="3"/>
      <c r="G619" s="3"/>
      <c r="H619" s="3"/>
      <c r="I619" s="3"/>
      <c r="J619" s="3"/>
      <c r="K619" s="3"/>
      <c r="M619" s="10"/>
      <c r="N619" s="3"/>
      <c r="O619" s="3"/>
      <c r="P619" s="3"/>
    </row>
    <row r="620" spans="4:16" x14ac:dyDescent="0.25">
      <c r="D620" s="2"/>
      <c r="F620" s="3"/>
      <c r="G620" s="3"/>
      <c r="H620" s="3"/>
      <c r="I620" s="3"/>
      <c r="J620" s="3"/>
      <c r="K620" s="3"/>
      <c r="M620" s="10"/>
      <c r="N620" s="3"/>
      <c r="O620" s="3"/>
      <c r="P620" s="3"/>
    </row>
    <row r="621" spans="4:16" x14ac:dyDescent="0.25">
      <c r="D621" s="2"/>
      <c r="F621" s="3"/>
      <c r="G621" s="3"/>
      <c r="H621" s="3"/>
      <c r="I621" s="3"/>
      <c r="J621" s="3"/>
      <c r="K621" s="3"/>
      <c r="M621" s="10"/>
      <c r="N621" s="3"/>
      <c r="O621" s="3"/>
      <c r="P621" s="3"/>
    </row>
    <row r="622" spans="4:16" x14ac:dyDescent="0.25">
      <c r="D622" s="2"/>
      <c r="F622" s="3"/>
      <c r="G622" s="3"/>
      <c r="H622" s="3"/>
      <c r="I622" s="3"/>
      <c r="J622" s="3"/>
      <c r="K622" s="3"/>
      <c r="M622" s="10"/>
      <c r="N622" s="3"/>
      <c r="O622" s="3"/>
      <c r="P622" s="3"/>
    </row>
    <row r="623" spans="4:16" x14ac:dyDescent="0.25">
      <c r="D623" s="2"/>
      <c r="F623" s="3"/>
      <c r="G623" s="3"/>
      <c r="H623" s="3"/>
      <c r="I623" s="3"/>
      <c r="J623" s="3"/>
      <c r="K623" s="3"/>
      <c r="M623" s="10"/>
      <c r="N623" s="3"/>
      <c r="O623" s="3"/>
      <c r="P623" s="3"/>
    </row>
    <row r="624" spans="4:16" x14ac:dyDescent="0.25">
      <c r="D624" s="2"/>
      <c r="F624" s="3"/>
      <c r="G624" s="3"/>
      <c r="H624" s="3"/>
      <c r="I624" s="3"/>
      <c r="J624" s="3"/>
      <c r="K624" s="3"/>
      <c r="M624" s="10"/>
      <c r="N624" s="3"/>
      <c r="O624" s="3"/>
      <c r="P624" s="3"/>
    </row>
    <row r="625" spans="4:16" x14ac:dyDescent="0.25">
      <c r="D625" s="2"/>
      <c r="F625" s="3"/>
      <c r="G625" s="3"/>
      <c r="H625" s="3"/>
      <c r="I625" s="3"/>
      <c r="J625" s="3"/>
      <c r="K625" s="3"/>
      <c r="M625" s="10"/>
      <c r="N625" s="3"/>
      <c r="O625" s="3"/>
      <c r="P625" s="3"/>
    </row>
    <row r="626" spans="4:16" x14ac:dyDescent="0.25">
      <c r="D626" s="2"/>
      <c r="F626" s="3"/>
      <c r="G626" s="3"/>
      <c r="H626" s="3"/>
      <c r="I626" s="3"/>
      <c r="J626" s="3"/>
      <c r="K626" s="3"/>
      <c r="M626" s="10"/>
      <c r="N626" s="3"/>
      <c r="O626" s="3"/>
      <c r="P626" s="3"/>
    </row>
    <row r="627" spans="4:16" x14ac:dyDescent="0.25">
      <c r="D627" s="2"/>
      <c r="F627" s="3"/>
      <c r="G627" s="3"/>
      <c r="H627" s="3"/>
      <c r="I627" s="3"/>
      <c r="J627" s="3"/>
      <c r="K627" s="3"/>
      <c r="M627" s="10"/>
      <c r="N627" s="3"/>
      <c r="O627" s="3"/>
      <c r="P627" s="3"/>
    </row>
    <row r="628" spans="4:16" x14ac:dyDescent="0.25">
      <c r="D628" s="2"/>
      <c r="F628" s="3"/>
      <c r="G628" s="3"/>
      <c r="H628" s="3"/>
      <c r="I628" s="3"/>
      <c r="J628" s="3"/>
      <c r="K628" s="3"/>
      <c r="M628" s="10"/>
      <c r="N628" s="3"/>
      <c r="O628" s="3"/>
      <c r="P628" s="3"/>
    </row>
    <row r="629" spans="4:16" x14ac:dyDescent="0.25">
      <c r="D629" s="2"/>
      <c r="F629" s="3"/>
      <c r="G629" s="3"/>
      <c r="H629" s="3"/>
      <c r="I629" s="3"/>
      <c r="J629" s="3"/>
      <c r="K629" s="3"/>
      <c r="M629" s="10"/>
      <c r="N629" s="3"/>
      <c r="O629" s="3"/>
      <c r="P629" s="3"/>
    </row>
    <row r="630" spans="4:16" x14ac:dyDescent="0.25">
      <c r="D630" s="2"/>
      <c r="F630" s="3"/>
      <c r="G630" s="3"/>
      <c r="H630" s="3"/>
      <c r="I630" s="3"/>
      <c r="J630" s="3"/>
      <c r="K630" s="3"/>
      <c r="M630" s="10"/>
      <c r="N630" s="3"/>
      <c r="O630" s="3"/>
      <c r="P630" s="3"/>
    </row>
    <row r="631" spans="4:16" x14ac:dyDescent="0.25">
      <c r="D631" s="2"/>
      <c r="F631" s="3"/>
      <c r="G631" s="3"/>
      <c r="H631" s="3"/>
      <c r="I631" s="3"/>
      <c r="J631" s="3"/>
      <c r="K631" s="3"/>
      <c r="M631" s="10"/>
      <c r="N631" s="3"/>
      <c r="O631" s="3"/>
      <c r="P631" s="3"/>
    </row>
    <row r="632" spans="4:16" x14ac:dyDescent="0.25">
      <c r="D632" s="2"/>
      <c r="F632" s="3"/>
      <c r="G632" s="3"/>
      <c r="H632" s="3"/>
      <c r="I632" s="3"/>
      <c r="J632" s="3"/>
      <c r="K632" s="3"/>
      <c r="M632" s="10"/>
      <c r="N632" s="3"/>
      <c r="O632" s="3"/>
      <c r="P632" s="3"/>
    </row>
    <row r="633" spans="4:16" x14ac:dyDescent="0.25">
      <c r="D633" s="2"/>
      <c r="F633" s="3"/>
      <c r="G633" s="3"/>
      <c r="H633" s="3"/>
      <c r="I633" s="3"/>
      <c r="J633" s="3"/>
      <c r="K633" s="3"/>
      <c r="M633" s="10"/>
      <c r="N633" s="3"/>
      <c r="O633" s="3"/>
      <c r="P633" s="3"/>
    </row>
    <row r="634" spans="4:16" x14ac:dyDescent="0.25">
      <c r="D634" s="2"/>
      <c r="F634" s="3"/>
      <c r="G634" s="3"/>
      <c r="H634" s="3"/>
      <c r="I634" s="3"/>
      <c r="J634" s="3"/>
      <c r="K634" s="3"/>
      <c r="M634" s="10"/>
      <c r="N634" s="3"/>
      <c r="O634" s="3"/>
      <c r="P634" s="3"/>
    </row>
    <row r="635" spans="4:16" x14ac:dyDescent="0.25">
      <c r="D635" s="2"/>
      <c r="F635" s="3"/>
      <c r="G635" s="3"/>
      <c r="H635" s="3"/>
      <c r="I635" s="3"/>
      <c r="J635" s="3"/>
      <c r="K635" s="3"/>
      <c r="M635" s="10"/>
      <c r="N635" s="3"/>
      <c r="O635" s="3"/>
      <c r="P635" s="3"/>
    </row>
    <row r="636" spans="4:16" x14ac:dyDescent="0.25">
      <c r="D636" s="2"/>
      <c r="F636" s="3"/>
      <c r="G636" s="3"/>
      <c r="H636" s="3"/>
      <c r="I636" s="3"/>
      <c r="J636" s="3"/>
      <c r="K636" s="3"/>
      <c r="M636" s="10"/>
      <c r="N636" s="3"/>
      <c r="O636" s="3"/>
      <c r="P636" s="3"/>
    </row>
    <row r="637" spans="4:16" x14ac:dyDescent="0.25">
      <c r="D637" s="2"/>
      <c r="F637" s="3"/>
      <c r="G637" s="3"/>
      <c r="H637" s="3"/>
      <c r="I637" s="3"/>
      <c r="J637" s="3"/>
      <c r="K637" s="3"/>
      <c r="M637" s="10"/>
      <c r="N637" s="3"/>
      <c r="O637" s="3"/>
      <c r="P637" s="3"/>
    </row>
    <row r="638" spans="4:16" x14ac:dyDescent="0.25">
      <c r="D638" s="2"/>
      <c r="F638" s="3"/>
      <c r="G638" s="3"/>
      <c r="H638" s="3"/>
      <c r="I638" s="3"/>
      <c r="J638" s="3"/>
      <c r="K638" s="3"/>
      <c r="M638" s="10"/>
      <c r="N638" s="3"/>
      <c r="O638" s="3"/>
      <c r="P638" s="3"/>
    </row>
    <row r="639" spans="4:16" x14ac:dyDescent="0.25">
      <c r="D639" s="2"/>
      <c r="F639" s="3"/>
      <c r="G639" s="3"/>
      <c r="H639" s="3"/>
      <c r="I639" s="3"/>
      <c r="J639" s="3"/>
      <c r="K639" s="3"/>
      <c r="M639" s="10"/>
      <c r="N639" s="3"/>
      <c r="O639" s="3"/>
      <c r="P639" s="3"/>
    </row>
    <row r="640" spans="4:16" x14ac:dyDescent="0.25">
      <c r="D640" s="2"/>
      <c r="F640" s="3"/>
      <c r="G640" s="3"/>
      <c r="H640" s="3"/>
      <c r="I640" s="3"/>
      <c r="J640" s="3"/>
      <c r="K640" s="3"/>
      <c r="M640" s="10"/>
      <c r="N640" s="3"/>
      <c r="O640" s="3"/>
      <c r="P640" s="3"/>
    </row>
    <row r="641" spans="4:16" x14ac:dyDescent="0.25">
      <c r="D641" s="2"/>
      <c r="F641" s="3"/>
      <c r="G641" s="3"/>
      <c r="H641" s="3"/>
      <c r="I641" s="3"/>
      <c r="J641" s="3"/>
      <c r="K641" s="3"/>
      <c r="M641" s="10"/>
      <c r="N641" s="3"/>
      <c r="O641" s="3"/>
      <c r="P641" s="3"/>
    </row>
    <row r="642" spans="4:16" x14ac:dyDescent="0.25">
      <c r="D642" s="2"/>
      <c r="F642" s="3"/>
      <c r="G642" s="3"/>
      <c r="H642" s="3"/>
      <c r="I642" s="3"/>
      <c r="J642" s="3"/>
      <c r="K642" s="3"/>
      <c r="M642" s="10"/>
      <c r="N642" s="3"/>
      <c r="O642" s="3"/>
      <c r="P642" s="3"/>
    </row>
    <row r="643" spans="4:16" x14ac:dyDescent="0.25">
      <c r="D643" s="2"/>
      <c r="F643" s="3"/>
      <c r="G643" s="3"/>
      <c r="H643" s="3"/>
      <c r="I643" s="3"/>
      <c r="J643" s="3"/>
      <c r="K643" s="3"/>
      <c r="M643" s="10"/>
      <c r="N643" s="3"/>
      <c r="O643" s="3"/>
      <c r="P643" s="3"/>
    </row>
    <row r="644" spans="4:16" x14ac:dyDescent="0.25">
      <c r="D644" s="2"/>
      <c r="F644" s="3"/>
      <c r="G644" s="3"/>
      <c r="H644" s="3"/>
      <c r="I644" s="3"/>
      <c r="J644" s="3"/>
      <c r="K644" s="3"/>
      <c r="M644" s="10"/>
      <c r="N644" s="3"/>
      <c r="O644" s="3"/>
      <c r="P644" s="3"/>
    </row>
    <row r="645" spans="4:16" x14ac:dyDescent="0.25">
      <c r="D645" s="2"/>
      <c r="F645" s="3"/>
      <c r="G645" s="3"/>
      <c r="H645" s="3"/>
      <c r="I645" s="3"/>
      <c r="J645" s="3"/>
      <c r="K645" s="3"/>
      <c r="M645" s="10"/>
      <c r="N645" s="3"/>
      <c r="O645" s="3"/>
      <c r="P645" s="3"/>
    </row>
    <row r="646" spans="4:16" x14ac:dyDescent="0.25">
      <c r="D646" s="2"/>
      <c r="F646" s="3"/>
      <c r="G646" s="3"/>
      <c r="H646" s="3"/>
      <c r="I646" s="3"/>
      <c r="J646" s="3"/>
      <c r="K646" s="3"/>
      <c r="M646" s="10"/>
      <c r="N646" s="3"/>
      <c r="O646" s="3"/>
      <c r="P646" s="3"/>
    </row>
    <row r="647" spans="4:16" x14ac:dyDescent="0.25">
      <c r="D647" s="2"/>
      <c r="F647" s="3"/>
      <c r="G647" s="3"/>
      <c r="H647" s="3"/>
      <c r="I647" s="3"/>
      <c r="J647" s="3"/>
      <c r="K647" s="3"/>
      <c r="M647" s="10"/>
      <c r="N647" s="3"/>
      <c r="O647" s="3"/>
      <c r="P647" s="3"/>
    </row>
    <row r="648" spans="4:16" x14ac:dyDescent="0.25">
      <c r="D648" s="2"/>
      <c r="F648" s="3"/>
      <c r="G648" s="3"/>
      <c r="H648" s="3"/>
      <c r="I648" s="3"/>
      <c r="J648" s="3"/>
      <c r="K648" s="3"/>
      <c r="M648" s="10"/>
      <c r="N648" s="3"/>
      <c r="O648" s="3"/>
      <c r="P648" s="3"/>
    </row>
    <row r="649" spans="4:16" x14ac:dyDescent="0.25">
      <c r="D649" s="2"/>
      <c r="F649" s="3"/>
      <c r="G649" s="3"/>
      <c r="H649" s="3"/>
      <c r="I649" s="3"/>
      <c r="J649" s="3"/>
      <c r="K649" s="3"/>
      <c r="M649" s="10"/>
      <c r="N649" s="3"/>
      <c r="O649" s="3"/>
      <c r="P649" s="3"/>
    </row>
    <row r="650" spans="4:16" x14ac:dyDescent="0.25">
      <c r="D650" s="2"/>
      <c r="F650" s="3"/>
      <c r="G650" s="3"/>
      <c r="H650" s="3"/>
      <c r="I650" s="3"/>
      <c r="J650" s="3"/>
      <c r="K650" s="3"/>
      <c r="M650" s="10"/>
      <c r="N650" s="3"/>
      <c r="O650" s="3"/>
      <c r="P650" s="3"/>
    </row>
    <row r="651" spans="4:16" x14ac:dyDescent="0.25">
      <c r="D651" s="2"/>
      <c r="F651" s="3"/>
      <c r="G651" s="3"/>
      <c r="H651" s="3"/>
      <c r="I651" s="3"/>
      <c r="J651" s="3"/>
      <c r="K651" s="3"/>
      <c r="M651" s="10"/>
      <c r="N651" s="3"/>
      <c r="O651" s="3"/>
      <c r="P651" s="3"/>
    </row>
    <row r="652" spans="4:16" x14ac:dyDescent="0.25">
      <c r="D652" s="2"/>
      <c r="F652" s="3"/>
      <c r="G652" s="3"/>
      <c r="H652" s="3"/>
      <c r="I652" s="3"/>
      <c r="J652" s="3"/>
      <c r="K652" s="3"/>
      <c r="M652" s="10"/>
      <c r="N652" s="3"/>
      <c r="O652" s="3"/>
      <c r="P652" s="3"/>
    </row>
    <row r="653" spans="4:16" x14ac:dyDescent="0.25">
      <c r="D653" s="2"/>
      <c r="F653" s="3"/>
      <c r="G653" s="3"/>
      <c r="H653" s="3"/>
      <c r="I653" s="3"/>
      <c r="J653" s="3"/>
      <c r="K653" s="3"/>
      <c r="M653" s="10"/>
      <c r="N653" s="3"/>
      <c r="O653" s="3"/>
      <c r="P653" s="3"/>
    </row>
    <row r="654" spans="4:16" x14ac:dyDescent="0.25">
      <c r="D654" s="2"/>
      <c r="F654" s="3"/>
      <c r="G654" s="3"/>
      <c r="H654" s="3"/>
      <c r="I654" s="3"/>
      <c r="J654" s="3"/>
      <c r="K654" s="3"/>
      <c r="M654" s="10"/>
      <c r="N654" s="3"/>
      <c r="O654" s="3"/>
      <c r="P654" s="3"/>
    </row>
    <row r="655" spans="4:16" x14ac:dyDescent="0.25">
      <c r="D655" s="2"/>
      <c r="F655" s="3"/>
      <c r="G655" s="3"/>
      <c r="H655" s="3"/>
      <c r="I655" s="3"/>
      <c r="J655" s="3"/>
      <c r="K655" s="3"/>
      <c r="M655" s="10"/>
      <c r="N655" s="3"/>
      <c r="O655" s="3"/>
      <c r="P655" s="3"/>
    </row>
    <row r="656" spans="4:16" x14ac:dyDescent="0.25">
      <c r="D656" s="2"/>
      <c r="F656" s="3"/>
      <c r="G656" s="3"/>
      <c r="H656" s="3"/>
      <c r="I656" s="3"/>
      <c r="J656" s="3"/>
      <c r="K656" s="3"/>
      <c r="M656" s="10"/>
      <c r="N656" s="3"/>
      <c r="O656" s="3"/>
      <c r="P656" s="3"/>
    </row>
    <row r="657" spans="4:16" x14ac:dyDescent="0.25">
      <c r="D657" s="2"/>
      <c r="F657" s="3"/>
      <c r="G657" s="3"/>
      <c r="H657" s="3"/>
      <c r="I657" s="3"/>
      <c r="J657" s="3"/>
      <c r="K657" s="3"/>
      <c r="M657" s="10"/>
      <c r="N657" s="3"/>
      <c r="O657" s="3"/>
      <c r="P657" s="3"/>
    </row>
    <row r="658" spans="4:16" x14ac:dyDescent="0.25">
      <c r="D658" s="2"/>
      <c r="F658" s="3"/>
      <c r="G658" s="3"/>
      <c r="H658" s="3"/>
      <c r="I658" s="3"/>
      <c r="J658" s="3"/>
      <c r="K658" s="3"/>
      <c r="M658" s="10"/>
      <c r="N658" s="3"/>
      <c r="O658" s="3"/>
      <c r="P658" s="3"/>
    </row>
    <row r="659" spans="4:16" x14ac:dyDescent="0.25">
      <c r="D659" s="2"/>
      <c r="F659" s="3"/>
      <c r="G659" s="3"/>
      <c r="H659" s="3"/>
      <c r="I659" s="3"/>
      <c r="J659" s="3"/>
      <c r="K659" s="3"/>
      <c r="M659" s="10"/>
      <c r="N659" s="3"/>
      <c r="O659" s="3"/>
      <c r="P659" s="3"/>
    </row>
    <row r="660" spans="4:16" x14ac:dyDescent="0.25">
      <c r="D660" s="2"/>
      <c r="F660" s="3"/>
      <c r="G660" s="3"/>
      <c r="H660" s="3"/>
      <c r="I660" s="3"/>
      <c r="J660" s="3"/>
      <c r="K660" s="3"/>
      <c r="M660" s="10"/>
      <c r="N660" s="3"/>
      <c r="O660" s="3"/>
      <c r="P660" s="3"/>
    </row>
    <row r="661" spans="4:16" x14ac:dyDescent="0.25">
      <c r="D661" s="2"/>
      <c r="F661" s="3"/>
      <c r="G661" s="3"/>
      <c r="H661" s="3"/>
      <c r="I661" s="3"/>
      <c r="J661" s="3"/>
      <c r="K661" s="3"/>
      <c r="M661" s="10"/>
      <c r="N661" s="3"/>
      <c r="O661" s="3"/>
      <c r="P661" s="3"/>
    </row>
    <row r="662" spans="4:16" x14ac:dyDescent="0.25">
      <c r="D662" s="2"/>
      <c r="F662" s="3"/>
      <c r="G662" s="3"/>
      <c r="H662" s="3"/>
      <c r="I662" s="3"/>
      <c r="J662" s="3"/>
      <c r="K662" s="3"/>
      <c r="M662" s="10"/>
      <c r="N662" s="3"/>
      <c r="O662" s="3"/>
      <c r="P662" s="3"/>
    </row>
    <row r="663" spans="4:16" x14ac:dyDescent="0.25">
      <c r="D663" s="2"/>
      <c r="F663" s="3"/>
      <c r="G663" s="3"/>
      <c r="H663" s="3"/>
      <c r="I663" s="3"/>
      <c r="J663" s="3"/>
      <c r="K663" s="3"/>
      <c r="M663" s="10"/>
      <c r="N663" s="3"/>
      <c r="O663" s="3"/>
      <c r="P663" s="3"/>
    </row>
    <row r="664" spans="4:16" x14ac:dyDescent="0.25">
      <c r="D664" s="2"/>
      <c r="F664" s="3"/>
      <c r="G664" s="3"/>
      <c r="H664" s="3"/>
      <c r="I664" s="3"/>
      <c r="J664" s="3"/>
      <c r="K664" s="3"/>
      <c r="M664" s="10"/>
      <c r="N664" s="3"/>
      <c r="O664" s="3"/>
      <c r="P664" s="3"/>
    </row>
    <row r="665" spans="4:16" x14ac:dyDescent="0.25">
      <c r="D665" s="2"/>
      <c r="F665" s="3"/>
      <c r="G665" s="3"/>
      <c r="H665" s="3"/>
      <c r="I665" s="3"/>
      <c r="J665" s="3"/>
      <c r="K665" s="3"/>
      <c r="M665" s="10"/>
      <c r="N665" s="3"/>
      <c r="O665" s="3"/>
      <c r="P665" s="3"/>
    </row>
    <row r="666" spans="4:16" x14ac:dyDescent="0.25">
      <c r="D666" s="2"/>
      <c r="F666" s="3"/>
      <c r="G666" s="3"/>
      <c r="H666" s="3"/>
      <c r="I666" s="3"/>
      <c r="J666" s="3"/>
      <c r="K666" s="3"/>
      <c r="M666" s="10"/>
      <c r="N666" s="3"/>
      <c r="O666" s="3"/>
      <c r="P666" s="3"/>
    </row>
    <row r="667" spans="4:16" x14ac:dyDescent="0.25">
      <c r="D667" s="2"/>
      <c r="F667" s="3"/>
      <c r="G667" s="3"/>
      <c r="H667" s="3"/>
      <c r="I667" s="3"/>
      <c r="J667" s="3"/>
      <c r="K667" s="3"/>
      <c r="M667" s="10"/>
      <c r="N667" s="3"/>
      <c r="O667" s="3"/>
      <c r="P667" s="3"/>
    </row>
    <row r="668" spans="4:16" x14ac:dyDescent="0.25">
      <c r="D668" s="2"/>
      <c r="F668" s="3"/>
      <c r="G668" s="3"/>
      <c r="H668" s="3"/>
      <c r="I668" s="3"/>
      <c r="J668" s="3"/>
      <c r="K668" s="3"/>
      <c r="M668" s="10"/>
      <c r="N668" s="3"/>
      <c r="O668" s="3"/>
      <c r="P668" s="3"/>
    </row>
    <row r="669" spans="4:16" x14ac:dyDescent="0.25">
      <c r="D669" s="2"/>
      <c r="F669" s="3"/>
      <c r="G669" s="3"/>
      <c r="H669" s="3"/>
      <c r="I669" s="3"/>
      <c r="J669" s="3"/>
      <c r="K669" s="3"/>
      <c r="M669" s="10"/>
      <c r="N669" s="3"/>
      <c r="O669" s="3"/>
      <c r="P669" s="3"/>
    </row>
    <row r="670" spans="4:16" x14ac:dyDescent="0.25">
      <c r="D670" s="2"/>
      <c r="F670" s="3"/>
      <c r="G670" s="3"/>
      <c r="H670" s="3"/>
      <c r="I670" s="3"/>
      <c r="J670" s="3"/>
      <c r="K670" s="3"/>
      <c r="M670" s="10"/>
      <c r="N670" s="3"/>
      <c r="O670" s="3"/>
      <c r="P670" s="3"/>
    </row>
    <row r="671" spans="4:16" x14ac:dyDescent="0.25">
      <c r="D671" s="2"/>
      <c r="F671" s="3"/>
      <c r="G671" s="3"/>
      <c r="H671" s="3"/>
      <c r="I671" s="3"/>
      <c r="J671" s="3"/>
      <c r="K671" s="3"/>
      <c r="M671" s="10"/>
      <c r="N671" s="3"/>
      <c r="O671" s="3"/>
      <c r="P671" s="3"/>
    </row>
    <row r="672" spans="4:16" x14ac:dyDescent="0.25">
      <c r="D672" s="2"/>
      <c r="F672" s="3"/>
      <c r="G672" s="3"/>
      <c r="H672" s="3"/>
      <c r="I672" s="3"/>
      <c r="J672" s="3"/>
      <c r="K672" s="3"/>
      <c r="M672" s="10"/>
      <c r="N672" s="3"/>
      <c r="O672" s="3"/>
      <c r="P672" s="3"/>
    </row>
    <row r="673" spans="4:16" x14ac:dyDescent="0.25">
      <c r="D673" s="2"/>
      <c r="F673" s="3"/>
      <c r="G673" s="3"/>
      <c r="H673" s="3"/>
      <c r="I673" s="3"/>
      <c r="J673" s="3"/>
      <c r="K673" s="3"/>
      <c r="M673" s="10"/>
      <c r="N673" s="3"/>
      <c r="O673" s="3"/>
      <c r="P673" s="3"/>
    </row>
    <row r="674" spans="4:16" x14ac:dyDescent="0.25">
      <c r="D674" s="2"/>
      <c r="F674" s="3"/>
      <c r="G674" s="3"/>
      <c r="H674" s="3"/>
      <c r="I674" s="3"/>
      <c r="J674" s="3"/>
      <c r="K674" s="3"/>
      <c r="M674" s="10"/>
      <c r="N674" s="3"/>
      <c r="O674" s="3"/>
      <c r="P674" s="3"/>
    </row>
    <row r="675" spans="4:16" x14ac:dyDescent="0.25">
      <c r="D675" s="2"/>
      <c r="F675" s="3"/>
      <c r="G675" s="3"/>
      <c r="H675" s="3"/>
      <c r="I675" s="3"/>
      <c r="J675" s="3"/>
      <c r="K675" s="3"/>
      <c r="M675" s="10"/>
      <c r="N675" s="3"/>
      <c r="O675" s="3"/>
      <c r="P675" s="3"/>
    </row>
    <row r="676" spans="4:16" x14ac:dyDescent="0.25">
      <c r="D676" s="2"/>
      <c r="F676" s="3"/>
      <c r="G676" s="3"/>
      <c r="H676" s="3"/>
      <c r="I676" s="3"/>
      <c r="J676" s="3"/>
      <c r="K676" s="3"/>
      <c r="M676" s="10"/>
      <c r="N676" s="3"/>
      <c r="O676" s="3"/>
      <c r="P676" s="3"/>
    </row>
    <row r="677" spans="4:16" x14ac:dyDescent="0.25">
      <c r="D677" s="2"/>
      <c r="F677" s="3"/>
      <c r="G677" s="3"/>
      <c r="H677" s="3"/>
      <c r="I677" s="3"/>
      <c r="J677" s="3"/>
      <c r="K677" s="3"/>
      <c r="M677" s="10"/>
      <c r="N677" s="3"/>
      <c r="O677" s="3"/>
      <c r="P677" s="3"/>
    </row>
    <row r="678" spans="4:16" x14ac:dyDescent="0.25">
      <c r="D678" s="2"/>
      <c r="F678" s="3"/>
      <c r="G678" s="3"/>
      <c r="H678" s="3"/>
      <c r="I678" s="3"/>
      <c r="J678" s="3"/>
      <c r="K678" s="3"/>
      <c r="M678" s="10"/>
      <c r="N678" s="3"/>
      <c r="O678" s="3"/>
      <c r="P678" s="3"/>
    </row>
    <row r="679" spans="4:16" x14ac:dyDescent="0.25">
      <c r="D679" s="2"/>
      <c r="F679" s="3"/>
      <c r="G679" s="3"/>
      <c r="H679" s="3"/>
      <c r="I679" s="3"/>
      <c r="J679" s="3"/>
      <c r="K679" s="3"/>
      <c r="M679" s="10"/>
      <c r="N679" s="3"/>
      <c r="O679" s="3"/>
      <c r="P679" s="3"/>
    </row>
    <row r="680" spans="4:16" x14ac:dyDescent="0.25">
      <c r="D680" s="2"/>
      <c r="F680" s="3"/>
      <c r="G680" s="3"/>
      <c r="H680" s="3"/>
      <c r="I680" s="3"/>
      <c r="J680" s="3"/>
      <c r="K680" s="3"/>
      <c r="M680" s="10"/>
      <c r="N680" s="3"/>
      <c r="O680" s="3"/>
      <c r="P680" s="3"/>
    </row>
    <row r="681" spans="4:16" x14ac:dyDescent="0.25">
      <c r="D681" s="2"/>
      <c r="F681" s="3"/>
      <c r="G681" s="3"/>
      <c r="H681" s="3"/>
      <c r="I681" s="3"/>
      <c r="J681" s="3"/>
      <c r="K681" s="3"/>
      <c r="M681" s="10"/>
      <c r="N681" s="3"/>
      <c r="O681" s="3"/>
      <c r="P681" s="3"/>
    </row>
    <row r="682" spans="4:16" x14ac:dyDescent="0.25">
      <c r="D682" s="2"/>
      <c r="F682" s="3"/>
      <c r="G682" s="3"/>
      <c r="H682" s="3"/>
      <c r="I682" s="3"/>
      <c r="J682" s="3"/>
      <c r="K682" s="3"/>
      <c r="M682" s="10"/>
      <c r="N682" s="3"/>
      <c r="O682" s="3"/>
      <c r="P682" s="3"/>
    </row>
    <row r="683" spans="4:16" x14ac:dyDescent="0.25">
      <c r="D683" s="2"/>
      <c r="F683" s="3"/>
      <c r="G683" s="3"/>
      <c r="H683" s="3"/>
      <c r="I683" s="3"/>
      <c r="J683" s="3"/>
      <c r="K683" s="3"/>
      <c r="M683" s="10"/>
      <c r="N683" s="3"/>
      <c r="O683" s="3"/>
      <c r="P683" s="3"/>
    </row>
    <row r="684" spans="4:16" x14ac:dyDescent="0.25">
      <c r="D684" s="2"/>
      <c r="F684" s="3"/>
      <c r="G684" s="3"/>
      <c r="H684" s="3"/>
      <c r="I684" s="3"/>
      <c r="J684" s="3"/>
      <c r="K684" s="3"/>
      <c r="M684" s="10"/>
      <c r="N684" s="3"/>
      <c r="O684" s="3"/>
      <c r="P684" s="3"/>
    </row>
    <row r="685" spans="4:16" x14ac:dyDescent="0.25">
      <c r="D685" s="2"/>
      <c r="F685" s="3"/>
      <c r="G685" s="3"/>
      <c r="H685" s="3"/>
      <c r="I685" s="3"/>
      <c r="J685" s="3"/>
      <c r="K685" s="3"/>
      <c r="M685" s="10"/>
      <c r="N685" s="3"/>
      <c r="O685" s="3"/>
      <c r="P685" s="3"/>
    </row>
    <row r="686" spans="4:16" x14ac:dyDescent="0.25">
      <c r="D686" s="2"/>
      <c r="F686" s="3"/>
      <c r="G686" s="3"/>
      <c r="H686" s="3"/>
      <c r="I686" s="3"/>
      <c r="J686" s="3"/>
      <c r="K686" s="3"/>
      <c r="M686" s="10"/>
      <c r="N686" s="3"/>
      <c r="O686" s="3"/>
      <c r="P686" s="3"/>
    </row>
    <row r="687" spans="4:16" x14ac:dyDescent="0.25">
      <c r="D687" s="2"/>
      <c r="F687" s="3"/>
      <c r="G687" s="3"/>
      <c r="H687" s="3"/>
      <c r="I687" s="3"/>
      <c r="J687" s="3"/>
      <c r="K687" s="3"/>
      <c r="M687" s="10"/>
      <c r="N687" s="3"/>
      <c r="O687" s="3"/>
      <c r="P687" s="3"/>
    </row>
    <row r="688" spans="4:16" x14ac:dyDescent="0.25">
      <c r="D688" s="2"/>
      <c r="F688" s="3"/>
      <c r="G688" s="3"/>
      <c r="H688" s="3"/>
      <c r="I688" s="3"/>
      <c r="J688" s="3"/>
      <c r="K688" s="3"/>
      <c r="M688" s="10"/>
      <c r="N688" s="3"/>
      <c r="O688" s="3"/>
      <c r="P688" s="3"/>
    </row>
    <row r="689" spans="4:16" x14ac:dyDescent="0.25">
      <c r="D689" s="2"/>
      <c r="F689" s="3"/>
      <c r="G689" s="3"/>
      <c r="H689" s="3"/>
      <c r="I689" s="3"/>
      <c r="J689" s="3"/>
      <c r="K689" s="3"/>
      <c r="M689" s="10"/>
      <c r="N689" s="3"/>
      <c r="O689" s="3"/>
      <c r="P689" s="3"/>
    </row>
    <row r="690" spans="4:16" x14ac:dyDescent="0.25">
      <c r="D690" s="2"/>
      <c r="F690" s="3"/>
      <c r="G690" s="3"/>
      <c r="H690" s="3"/>
      <c r="I690" s="3"/>
      <c r="J690" s="3"/>
      <c r="K690" s="3"/>
      <c r="M690" s="10"/>
      <c r="N690" s="3"/>
      <c r="O690" s="3"/>
      <c r="P690" s="3"/>
    </row>
    <row r="691" spans="4:16" x14ac:dyDescent="0.25">
      <c r="D691" s="2"/>
      <c r="F691" s="3"/>
      <c r="G691" s="3"/>
      <c r="H691" s="3"/>
      <c r="I691" s="3"/>
      <c r="J691" s="3"/>
      <c r="K691" s="3"/>
      <c r="M691" s="10"/>
      <c r="N691" s="3"/>
      <c r="O691" s="3"/>
      <c r="P691" s="3"/>
    </row>
    <row r="692" spans="4:16" x14ac:dyDescent="0.25">
      <c r="D692" s="2"/>
      <c r="F692" s="3"/>
      <c r="G692" s="3"/>
      <c r="H692" s="3"/>
      <c r="I692" s="3"/>
      <c r="J692" s="3"/>
      <c r="K692" s="3"/>
      <c r="M692" s="10"/>
      <c r="N692" s="3"/>
      <c r="O692" s="3"/>
      <c r="P692" s="3"/>
    </row>
    <row r="693" spans="4:16" x14ac:dyDescent="0.25">
      <c r="D693" s="2"/>
      <c r="F693" s="3"/>
      <c r="G693" s="3"/>
      <c r="H693" s="3"/>
      <c r="I693" s="3"/>
      <c r="J693" s="3"/>
      <c r="K693" s="3"/>
      <c r="M693" s="10"/>
      <c r="N693" s="3"/>
      <c r="O693" s="3"/>
      <c r="P693" s="3"/>
    </row>
    <row r="694" spans="4:16" x14ac:dyDescent="0.25">
      <c r="D694" s="2"/>
      <c r="F694" s="3"/>
      <c r="G694" s="3"/>
      <c r="H694" s="3"/>
      <c r="I694" s="3"/>
      <c r="J694" s="3"/>
      <c r="K694" s="3"/>
      <c r="M694" s="10"/>
      <c r="N694" s="3"/>
      <c r="O694" s="3"/>
      <c r="P694" s="3"/>
    </row>
    <row r="695" spans="4:16" x14ac:dyDescent="0.25">
      <c r="D695" s="2"/>
      <c r="F695" s="3"/>
      <c r="G695" s="3"/>
      <c r="H695" s="3"/>
      <c r="I695" s="3"/>
      <c r="J695" s="3"/>
      <c r="K695" s="3"/>
      <c r="M695" s="10"/>
      <c r="N695" s="3"/>
      <c r="O695" s="3"/>
      <c r="P695" s="3"/>
    </row>
    <row r="696" spans="4:16" x14ac:dyDescent="0.25">
      <c r="D696" s="2"/>
      <c r="F696" s="3"/>
      <c r="G696" s="3"/>
      <c r="H696" s="3"/>
      <c r="I696" s="3"/>
      <c r="J696" s="3"/>
      <c r="K696" s="3"/>
      <c r="M696" s="10"/>
      <c r="N696" s="3"/>
      <c r="O696" s="3"/>
      <c r="P696" s="3"/>
    </row>
    <row r="697" spans="4:16" x14ac:dyDescent="0.25">
      <c r="D697" s="2"/>
      <c r="F697" s="3"/>
      <c r="G697" s="3"/>
      <c r="H697" s="3"/>
      <c r="I697" s="3"/>
      <c r="J697" s="3"/>
      <c r="K697" s="3"/>
      <c r="M697" s="10"/>
      <c r="N697" s="3"/>
      <c r="O697" s="3"/>
      <c r="P697" s="3"/>
    </row>
    <row r="698" spans="4:16" x14ac:dyDescent="0.25">
      <c r="D698" s="2"/>
      <c r="F698" s="3"/>
      <c r="G698" s="3"/>
      <c r="H698" s="3"/>
      <c r="I698" s="3"/>
      <c r="J698" s="3"/>
      <c r="K698" s="3"/>
      <c r="M698" s="10"/>
      <c r="N698" s="3"/>
      <c r="O698" s="3"/>
      <c r="P698" s="3"/>
    </row>
    <row r="699" spans="4:16" x14ac:dyDescent="0.25">
      <c r="D699" s="2"/>
      <c r="F699" s="3"/>
      <c r="G699" s="3"/>
      <c r="H699" s="3"/>
      <c r="I699" s="3"/>
      <c r="J699" s="3"/>
      <c r="K699" s="3"/>
      <c r="M699" s="10"/>
      <c r="N699" s="3"/>
      <c r="O699" s="3"/>
      <c r="P699" s="3"/>
    </row>
    <row r="700" spans="4:16" x14ac:dyDescent="0.25">
      <c r="D700" s="2"/>
      <c r="F700" s="3"/>
      <c r="G700" s="3"/>
      <c r="H700" s="3"/>
      <c r="I700" s="3"/>
      <c r="J700" s="3"/>
      <c r="K700" s="3"/>
      <c r="M700" s="10"/>
      <c r="N700" s="3"/>
      <c r="O700" s="3"/>
      <c r="P700" s="3"/>
    </row>
    <row r="701" spans="4:16" x14ac:dyDescent="0.25">
      <c r="D701" s="2"/>
      <c r="F701" s="3"/>
      <c r="G701" s="3"/>
      <c r="H701" s="3"/>
      <c r="I701" s="3"/>
      <c r="J701" s="3"/>
      <c r="K701" s="3"/>
      <c r="M701" s="10"/>
      <c r="N701" s="3"/>
      <c r="O701" s="3"/>
      <c r="P701" s="3"/>
    </row>
    <row r="702" spans="4:16" x14ac:dyDescent="0.25">
      <c r="D702" s="2"/>
      <c r="F702" s="3"/>
      <c r="G702" s="3"/>
      <c r="H702" s="3"/>
      <c r="I702" s="3"/>
      <c r="J702" s="3"/>
      <c r="K702" s="3"/>
      <c r="M702" s="10"/>
      <c r="N702" s="3"/>
      <c r="O702" s="3"/>
      <c r="P702" s="3"/>
    </row>
    <row r="703" spans="4:16" x14ac:dyDescent="0.25">
      <c r="D703" s="2"/>
      <c r="F703" s="3"/>
      <c r="G703" s="3"/>
      <c r="H703" s="3"/>
      <c r="I703" s="3"/>
      <c r="J703" s="3"/>
      <c r="K703" s="3"/>
      <c r="M703" s="10"/>
      <c r="N703" s="3"/>
      <c r="O703" s="3"/>
      <c r="P703" s="3"/>
    </row>
    <row r="704" spans="4:16" x14ac:dyDescent="0.25">
      <c r="D704" s="2"/>
      <c r="F704" s="3"/>
      <c r="G704" s="3"/>
      <c r="H704" s="3"/>
      <c r="I704" s="3"/>
      <c r="J704" s="3"/>
      <c r="K704" s="3"/>
      <c r="M704" s="10"/>
      <c r="N704" s="3"/>
      <c r="O704" s="3"/>
      <c r="P704" s="3"/>
    </row>
    <row r="705" spans="4:16" x14ac:dyDescent="0.25">
      <c r="D705" s="2"/>
      <c r="F705" s="3"/>
      <c r="G705" s="3"/>
      <c r="H705" s="3"/>
      <c r="I705" s="3"/>
      <c r="J705" s="3"/>
      <c r="K705" s="3"/>
      <c r="M705" s="10"/>
      <c r="N705" s="3"/>
      <c r="O705" s="3"/>
      <c r="P705" s="3"/>
    </row>
    <row r="706" spans="4:16" x14ac:dyDescent="0.25">
      <c r="D706" s="2"/>
      <c r="F706" s="3"/>
      <c r="G706" s="3"/>
      <c r="H706" s="3"/>
      <c r="I706" s="3"/>
      <c r="J706" s="3"/>
      <c r="K706" s="3"/>
      <c r="M706" s="10"/>
      <c r="N706" s="3"/>
      <c r="O706" s="3"/>
      <c r="P706" s="3"/>
    </row>
    <row r="707" spans="4:16" x14ac:dyDescent="0.25">
      <c r="D707" s="2"/>
      <c r="F707" s="3"/>
      <c r="G707" s="3"/>
      <c r="H707" s="3"/>
      <c r="I707" s="3"/>
      <c r="J707" s="3"/>
      <c r="K707" s="3"/>
      <c r="M707" s="10"/>
      <c r="N707" s="3"/>
      <c r="O707" s="3"/>
      <c r="P707" s="3"/>
    </row>
    <row r="708" spans="4:16" x14ac:dyDescent="0.25">
      <c r="D708" s="2"/>
      <c r="F708" s="3"/>
      <c r="G708" s="3"/>
      <c r="H708" s="3"/>
      <c r="I708" s="3"/>
      <c r="J708" s="3"/>
      <c r="K708" s="3"/>
      <c r="M708" s="10"/>
      <c r="N708" s="3"/>
      <c r="O708" s="3"/>
      <c r="P708" s="3"/>
    </row>
    <row r="709" spans="4:16" x14ac:dyDescent="0.25">
      <c r="D709" s="2"/>
      <c r="F709" s="3"/>
      <c r="G709" s="3"/>
      <c r="H709" s="3"/>
      <c r="I709" s="3"/>
      <c r="J709" s="3"/>
      <c r="K709" s="3"/>
      <c r="M709" s="10"/>
      <c r="N709" s="3"/>
      <c r="O709" s="3"/>
      <c r="P709" s="3"/>
    </row>
    <row r="710" spans="4:16" x14ac:dyDescent="0.25">
      <c r="D710" s="2"/>
      <c r="F710" s="3"/>
      <c r="G710" s="3"/>
      <c r="H710" s="3"/>
      <c r="I710" s="3"/>
      <c r="J710" s="3"/>
      <c r="K710" s="3"/>
      <c r="M710" s="10"/>
      <c r="N710" s="3"/>
      <c r="O710" s="3"/>
      <c r="P710" s="3"/>
    </row>
    <row r="711" spans="4:16" x14ac:dyDescent="0.25">
      <c r="D711" s="2"/>
      <c r="F711" s="3"/>
      <c r="G711" s="3"/>
      <c r="H711" s="3"/>
      <c r="I711" s="3"/>
      <c r="J711" s="3"/>
      <c r="K711" s="3"/>
      <c r="M711" s="10"/>
      <c r="N711" s="3"/>
      <c r="O711" s="3"/>
      <c r="P711" s="3"/>
    </row>
    <row r="712" spans="4:16" x14ac:dyDescent="0.25">
      <c r="D712" s="2"/>
      <c r="F712" s="3"/>
      <c r="G712" s="3"/>
      <c r="H712" s="3"/>
      <c r="I712" s="3"/>
      <c r="J712" s="3"/>
      <c r="K712" s="3"/>
      <c r="M712" s="10"/>
      <c r="N712" s="3"/>
      <c r="O712" s="3"/>
      <c r="P712" s="3"/>
    </row>
    <row r="713" spans="4:16" x14ac:dyDescent="0.25">
      <c r="D713" s="2"/>
      <c r="F713" s="3"/>
      <c r="G713" s="3"/>
      <c r="H713" s="3"/>
      <c r="I713" s="3"/>
      <c r="J713" s="3"/>
      <c r="K713" s="3"/>
      <c r="M713" s="10"/>
      <c r="N713" s="3"/>
      <c r="O713" s="3"/>
      <c r="P713" s="3"/>
    </row>
    <row r="714" spans="4:16" x14ac:dyDescent="0.25">
      <c r="D714" s="2"/>
      <c r="F714" s="3"/>
      <c r="G714" s="3"/>
      <c r="H714" s="3"/>
      <c r="I714" s="3"/>
      <c r="J714" s="3"/>
      <c r="K714" s="3"/>
      <c r="M714" s="10"/>
      <c r="N714" s="3"/>
      <c r="O714" s="3"/>
      <c r="P714" s="3"/>
    </row>
    <row r="715" spans="4:16" x14ac:dyDescent="0.25">
      <c r="D715" s="2"/>
      <c r="F715" s="3"/>
      <c r="G715" s="3"/>
      <c r="H715" s="3"/>
      <c r="I715" s="3"/>
      <c r="J715" s="3"/>
      <c r="K715" s="3"/>
      <c r="M715" s="10"/>
      <c r="N715" s="3"/>
      <c r="O715" s="3"/>
      <c r="P715" s="3"/>
    </row>
    <row r="716" spans="4:16" x14ac:dyDescent="0.25">
      <c r="D716" s="2"/>
      <c r="F716" s="3"/>
      <c r="G716" s="3"/>
      <c r="H716" s="3"/>
      <c r="I716" s="3"/>
      <c r="J716" s="3"/>
      <c r="K716" s="3"/>
      <c r="M716" s="10"/>
      <c r="N716" s="3"/>
      <c r="O716" s="3"/>
      <c r="P716" s="3"/>
    </row>
    <row r="717" spans="4:16" x14ac:dyDescent="0.25">
      <c r="D717" s="2"/>
      <c r="F717" s="3"/>
      <c r="G717" s="3"/>
      <c r="H717" s="3"/>
      <c r="I717" s="3"/>
      <c r="J717" s="3"/>
      <c r="K717" s="3"/>
      <c r="M717" s="10"/>
      <c r="N717" s="3"/>
      <c r="O717" s="3"/>
      <c r="P717" s="3"/>
    </row>
    <row r="718" spans="4:16" x14ac:dyDescent="0.25">
      <c r="D718" s="2"/>
      <c r="F718" s="3"/>
      <c r="G718" s="3"/>
      <c r="H718" s="3"/>
      <c r="I718" s="3"/>
      <c r="J718" s="3"/>
      <c r="K718" s="3"/>
      <c r="M718" s="10"/>
      <c r="N718" s="3"/>
      <c r="O718" s="3"/>
      <c r="P718" s="3"/>
    </row>
    <row r="719" spans="4:16" x14ac:dyDescent="0.25">
      <c r="D719" s="2"/>
      <c r="F719" s="3"/>
      <c r="G719" s="3"/>
      <c r="H719" s="3"/>
      <c r="I719" s="3"/>
      <c r="J719" s="3"/>
      <c r="K719" s="3"/>
      <c r="M719" s="10"/>
      <c r="N719" s="3"/>
      <c r="O719" s="3"/>
      <c r="P719" s="3"/>
    </row>
    <row r="720" spans="4:16" x14ac:dyDescent="0.25">
      <c r="D720" s="2"/>
      <c r="F720" s="3"/>
      <c r="G720" s="3"/>
      <c r="H720" s="3"/>
      <c r="I720" s="3"/>
      <c r="J720" s="3"/>
      <c r="K720" s="3"/>
      <c r="M720" s="10"/>
      <c r="N720" s="3"/>
      <c r="O720" s="3"/>
      <c r="P720" s="3"/>
    </row>
    <row r="721" spans="4:16" x14ac:dyDescent="0.25">
      <c r="D721" s="2"/>
      <c r="F721" s="3"/>
      <c r="G721" s="3"/>
      <c r="H721" s="3"/>
      <c r="I721" s="3"/>
      <c r="J721" s="3"/>
      <c r="K721" s="3"/>
      <c r="M721" s="10"/>
      <c r="N721" s="3"/>
      <c r="O721" s="3"/>
      <c r="P721" s="3"/>
    </row>
    <row r="722" spans="4:16" x14ac:dyDescent="0.25">
      <c r="D722" s="2"/>
      <c r="F722" s="3"/>
      <c r="G722" s="3"/>
      <c r="H722" s="3"/>
      <c r="I722" s="3"/>
      <c r="J722" s="3"/>
      <c r="K722" s="3"/>
      <c r="M722" s="10"/>
      <c r="N722" s="3"/>
      <c r="O722" s="3"/>
      <c r="P722" s="3"/>
    </row>
    <row r="723" spans="4:16" x14ac:dyDescent="0.25">
      <c r="D723" s="2"/>
      <c r="F723" s="3"/>
      <c r="G723" s="3"/>
      <c r="H723" s="3"/>
      <c r="I723" s="3"/>
      <c r="J723" s="3"/>
      <c r="K723" s="3"/>
      <c r="M723" s="10"/>
      <c r="N723" s="3"/>
      <c r="O723" s="3"/>
      <c r="P723" s="3"/>
    </row>
    <row r="724" spans="4:16" x14ac:dyDescent="0.25">
      <c r="D724" s="2"/>
      <c r="F724" s="3"/>
      <c r="G724" s="3"/>
      <c r="H724" s="3"/>
      <c r="I724" s="3"/>
      <c r="J724" s="3"/>
      <c r="K724" s="3"/>
      <c r="M724" s="10"/>
      <c r="N724" s="3"/>
      <c r="O724" s="3"/>
      <c r="P724" s="3"/>
    </row>
    <row r="725" spans="4:16" x14ac:dyDescent="0.25">
      <c r="D725" s="2"/>
      <c r="F725" s="3"/>
      <c r="G725" s="3"/>
      <c r="H725" s="3"/>
      <c r="I725" s="3"/>
      <c r="J725" s="3"/>
      <c r="K725" s="3"/>
      <c r="M725" s="10"/>
      <c r="N725" s="3"/>
      <c r="O725" s="3"/>
      <c r="P725" s="3"/>
    </row>
    <row r="726" spans="4:16" x14ac:dyDescent="0.25">
      <c r="D726" s="2"/>
      <c r="F726" s="3"/>
      <c r="G726" s="3"/>
      <c r="H726" s="3"/>
      <c r="I726" s="3"/>
      <c r="J726" s="3"/>
      <c r="K726" s="3"/>
      <c r="M726" s="10"/>
      <c r="N726" s="3"/>
      <c r="O726" s="3"/>
      <c r="P726" s="3"/>
    </row>
    <row r="727" spans="4:16" x14ac:dyDescent="0.25">
      <c r="D727" s="2"/>
      <c r="F727" s="3"/>
      <c r="G727" s="3"/>
      <c r="H727" s="3"/>
      <c r="I727" s="3"/>
      <c r="J727" s="3"/>
      <c r="K727" s="3"/>
      <c r="M727" s="10"/>
      <c r="N727" s="3"/>
      <c r="O727" s="3"/>
      <c r="P727" s="3"/>
    </row>
    <row r="728" spans="4:16" x14ac:dyDescent="0.25">
      <c r="D728" s="2"/>
      <c r="F728" s="3"/>
      <c r="G728" s="3"/>
      <c r="H728" s="3"/>
      <c r="I728" s="3"/>
      <c r="J728" s="3"/>
      <c r="K728" s="3"/>
      <c r="M728" s="10"/>
      <c r="N728" s="3"/>
      <c r="O728" s="3"/>
      <c r="P728" s="3"/>
    </row>
    <row r="729" spans="4:16" x14ac:dyDescent="0.25">
      <c r="D729" s="2"/>
      <c r="F729" s="3"/>
      <c r="G729" s="3"/>
      <c r="H729" s="3"/>
      <c r="I729" s="3"/>
      <c r="J729" s="3"/>
      <c r="K729" s="3"/>
      <c r="M729" s="10"/>
      <c r="N729" s="3"/>
      <c r="O729" s="3"/>
      <c r="P729" s="3"/>
    </row>
    <row r="730" spans="4:16" x14ac:dyDescent="0.25">
      <c r="D730" s="2"/>
      <c r="F730" s="3"/>
      <c r="G730" s="3"/>
      <c r="H730" s="3"/>
      <c r="I730" s="3"/>
      <c r="J730" s="3"/>
      <c r="K730" s="3"/>
      <c r="M730" s="10"/>
      <c r="N730" s="3"/>
      <c r="O730" s="3"/>
      <c r="P730" s="3"/>
    </row>
    <row r="731" spans="4:16" x14ac:dyDescent="0.25">
      <c r="D731" s="2"/>
      <c r="F731" s="3"/>
      <c r="G731" s="3"/>
      <c r="H731" s="3"/>
      <c r="I731" s="3"/>
      <c r="J731" s="3"/>
      <c r="K731" s="3"/>
      <c r="M731" s="10"/>
      <c r="N731" s="3"/>
      <c r="O731" s="3"/>
      <c r="P731" s="3"/>
    </row>
    <row r="732" spans="4:16" x14ac:dyDescent="0.25">
      <c r="D732" s="2"/>
      <c r="F732" s="3"/>
      <c r="G732" s="3"/>
      <c r="H732" s="3"/>
      <c r="I732" s="3"/>
      <c r="J732" s="3"/>
      <c r="K732" s="3"/>
      <c r="M732" s="10"/>
      <c r="N732" s="3"/>
      <c r="O732" s="3"/>
      <c r="P732" s="3"/>
    </row>
    <row r="733" spans="4:16" x14ac:dyDescent="0.25">
      <c r="D733" s="2"/>
      <c r="F733" s="3"/>
      <c r="G733" s="3"/>
      <c r="H733" s="3"/>
      <c r="I733" s="3"/>
      <c r="J733" s="3"/>
      <c r="K733" s="3"/>
      <c r="M733" s="10"/>
      <c r="N733" s="3"/>
      <c r="O733" s="3"/>
      <c r="P733" s="3"/>
    </row>
    <row r="734" spans="4:16" x14ac:dyDescent="0.25">
      <c r="D734" s="2"/>
      <c r="F734" s="3"/>
      <c r="G734" s="3"/>
      <c r="H734" s="3"/>
      <c r="I734" s="3"/>
      <c r="J734" s="3"/>
      <c r="K734" s="3"/>
      <c r="M734" s="10"/>
      <c r="N734" s="3"/>
      <c r="O734" s="3"/>
      <c r="P734" s="3"/>
    </row>
    <row r="735" spans="4:16" x14ac:dyDescent="0.25">
      <c r="D735" s="2"/>
      <c r="F735" s="3"/>
      <c r="G735" s="3"/>
      <c r="H735" s="3"/>
      <c r="I735" s="3"/>
      <c r="J735" s="3"/>
      <c r="K735" s="3"/>
      <c r="M735" s="10"/>
      <c r="N735" s="3"/>
      <c r="O735" s="3"/>
      <c r="P735" s="3"/>
    </row>
    <row r="736" spans="4:16" x14ac:dyDescent="0.25">
      <c r="D736" s="2"/>
      <c r="F736" s="3"/>
      <c r="G736" s="3"/>
      <c r="H736" s="3"/>
      <c r="I736" s="3"/>
      <c r="J736" s="3"/>
      <c r="K736" s="3"/>
      <c r="M736" s="10"/>
      <c r="N736" s="3"/>
      <c r="O736" s="3"/>
      <c r="P736" s="3"/>
    </row>
    <row r="737" spans="4:16" x14ac:dyDescent="0.25">
      <c r="D737" s="2"/>
      <c r="F737" s="3"/>
      <c r="G737" s="3"/>
      <c r="H737" s="3"/>
      <c r="I737" s="3"/>
      <c r="J737" s="3"/>
      <c r="K737" s="3"/>
      <c r="M737" s="10"/>
      <c r="N737" s="3"/>
      <c r="O737" s="3"/>
      <c r="P737" s="3"/>
    </row>
    <row r="738" spans="4:16" x14ac:dyDescent="0.25">
      <c r="D738" s="2"/>
      <c r="F738" s="3"/>
      <c r="G738" s="3"/>
      <c r="H738" s="3"/>
      <c r="I738" s="3"/>
      <c r="J738" s="3"/>
      <c r="K738" s="3"/>
      <c r="M738" s="10"/>
      <c r="N738" s="3"/>
      <c r="O738" s="3"/>
      <c r="P738" s="3"/>
    </row>
    <row r="739" spans="4:16" x14ac:dyDescent="0.25">
      <c r="D739" s="2"/>
      <c r="F739" s="3"/>
      <c r="G739" s="3"/>
      <c r="H739" s="3"/>
      <c r="I739" s="3"/>
      <c r="J739" s="3"/>
      <c r="K739" s="3"/>
      <c r="M739" s="10"/>
      <c r="N739" s="3"/>
      <c r="O739" s="3"/>
      <c r="P739" s="3"/>
    </row>
    <row r="740" spans="4:16" x14ac:dyDescent="0.25">
      <c r="D740" s="2"/>
      <c r="F740" s="3"/>
      <c r="G740" s="3"/>
      <c r="H740" s="3"/>
      <c r="I740" s="3"/>
      <c r="J740" s="3"/>
      <c r="K740" s="3"/>
      <c r="M740" s="10"/>
      <c r="N740" s="3"/>
      <c r="O740" s="3"/>
      <c r="P740" s="3"/>
    </row>
    <row r="741" spans="4:16" x14ac:dyDescent="0.25">
      <c r="D741" s="2"/>
      <c r="F741" s="3"/>
      <c r="G741" s="3"/>
      <c r="H741" s="3"/>
      <c r="I741" s="3"/>
      <c r="J741" s="3"/>
      <c r="K741" s="3"/>
      <c r="M741" s="10"/>
      <c r="N741" s="3"/>
      <c r="O741" s="3"/>
      <c r="P741" s="3"/>
    </row>
    <row r="742" spans="4:16" x14ac:dyDescent="0.25">
      <c r="D742" s="2"/>
      <c r="F742" s="3"/>
      <c r="G742" s="3"/>
      <c r="H742" s="3"/>
      <c r="I742" s="3"/>
      <c r="J742" s="3"/>
      <c r="K742" s="3"/>
      <c r="M742" s="10"/>
      <c r="N742" s="3"/>
      <c r="O742" s="3"/>
      <c r="P742" s="3"/>
    </row>
    <row r="743" spans="4:16" x14ac:dyDescent="0.25">
      <c r="D743" s="2"/>
      <c r="F743" s="3"/>
      <c r="G743" s="3"/>
      <c r="H743" s="3"/>
      <c r="I743" s="3"/>
      <c r="J743" s="3"/>
      <c r="K743" s="3"/>
      <c r="M743" s="10"/>
      <c r="N743" s="3"/>
      <c r="O743" s="3"/>
      <c r="P743" s="3"/>
    </row>
    <row r="744" spans="4:16" x14ac:dyDescent="0.25">
      <c r="D744" s="2"/>
      <c r="F744" s="3"/>
      <c r="G744" s="3"/>
      <c r="H744" s="3"/>
      <c r="I744" s="3"/>
      <c r="J744" s="3"/>
      <c r="K744" s="3"/>
      <c r="M744" s="10"/>
      <c r="N744" s="3"/>
      <c r="O744" s="3"/>
      <c r="P744" s="3"/>
    </row>
    <row r="745" spans="4:16" x14ac:dyDescent="0.25">
      <c r="D745" s="2"/>
      <c r="F745" s="3"/>
      <c r="G745" s="3"/>
      <c r="H745" s="3"/>
      <c r="I745" s="3"/>
      <c r="J745" s="3"/>
      <c r="K745" s="3"/>
      <c r="M745" s="10"/>
      <c r="N745" s="3"/>
      <c r="O745" s="3"/>
      <c r="P745" s="3"/>
    </row>
    <row r="746" spans="4:16" x14ac:dyDescent="0.25">
      <c r="D746" s="2"/>
      <c r="F746" s="3"/>
      <c r="G746" s="3"/>
      <c r="H746" s="3"/>
      <c r="I746" s="3"/>
      <c r="J746" s="3"/>
      <c r="K746" s="3"/>
      <c r="M746" s="10"/>
      <c r="N746" s="3"/>
      <c r="O746" s="3"/>
      <c r="P746" s="3"/>
    </row>
    <row r="747" spans="4:16" x14ac:dyDescent="0.25">
      <c r="D747" s="2"/>
      <c r="F747" s="3"/>
      <c r="G747" s="3"/>
      <c r="H747" s="3"/>
      <c r="I747" s="3"/>
      <c r="J747" s="3"/>
      <c r="K747" s="3"/>
      <c r="M747" s="10"/>
      <c r="N747" s="3"/>
      <c r="O747" s="3"/>
      <c r="P747" s="3"/>
    </row>
    <row r="748" spans="4:16" x14ac:dyDescent="0.25">
      <c r="D748" s="2"/>
      <c r="F748" s="3"/>
      <c r="G748" s="3"/>
      <c r="H748" s="3"/>
      <c r="I748" s="3"/>
      <c r="J748" s="3"/>
      <c r="K748" s="3"/>
      <c r="M748" s="10"/>
      <c r="N748" s="3"/>
      <c r="O748" s="3"/>
      <c r="P748" s="3"/>
    </row>
    <row r="749" spans="4:16" x14ac:dyDescent="0.25">
      <c r="D749" s="2"/>
      <c r="F749" s="3"/>
      <c r="G749" s="3"/>
      <c r="H749" s="3"/>
      <c r="I749" s="3"/>
      <c r="J749" s="3"/>
      <c r="K749" s="3"/>
      <c r="M749" s="10"/>
      <c r="N749" s="3"/>
      <c r="O749" s="3"/>
      <c r="P749" s="3"/>
    </row>
    <row r="750" spans="4:16" x14ac:dyDescent="0.25">
      <c r="D750" s="2"/>
      <c r="F750" s="3"/>
      <c r="G750" s="3"/>
      <c r="H750" s="3"/>
      <c r="I750" s="3"/>
      <c r="J750" s="3"/>
      <c r="K750" s="3"/>
      <c r="M750" s="10"/>
      <c r="N750" s="3"/>
      <c r="O750" s="3"/>
      <c r="P750" s="3"/>
    </row>
    <row r="751" spans="4:16" x14ac:dyDescent="0.25">
      <c r="D751" s="2"/>
      <c r="F751" s="3"/>
      <c r="G751" s="3"/>
      <c r="H751" s="3"/>
      <c r="I751" s="3"/>
      <c r="J751" s="3"/>
      <c r="K751" s="3"/>
      <c r="M751" s="10"/>
      <c r="N751" s="3"/>
      <c r="O751" s="3"/>
      <c r="P751" s="3"/>
    </row>
    <row r="752" spans="4:16" x14ac:dyDescent="0.25">
      <c r="D752" s="2"/>
      <c r="F752" s="3"/>
      <c r="G752" s="3"/>
      <c r="H752" s="3"/>
      <c r="I752" s="3"/>
      <c r="J752" s="3"/>
      <c r="K752" s="3"/>
      <c r="M752" s="10"/>
      <c r="N752" s="3"/>
      <c r="O752" s="3"/>
      <c r="P752" s="3"/>
    </row>
    <row r="753" spans="4:16" x14ac:dyDescent="0.25">
      <c r="D753" s="2"/>
      <c r="F753" s="3"/>
      <c r="G753" s="3"/>
      <c r="H753" s="3"/>
      <c r="I753" s="3"/>
      <c r="J753" s="3"/>
      <c r="K753" s="3"/>
      <c r="M753" s="10"/>
      <c r="N753" s="3"/>
      <c r="O753" s="3"/>
      <c r="P753" s="3"/>
    </row>
    <row r="754" spans="4:16" x14ac:dyDescent="0.25">
      <c r="D754" s="2"/>
      <c r="F754" s="3"/>
      <c r="G754" s="3"/>
      <c r="H754" s="3"/>
      <c r="I754" s="3"/>
      <c r="J754" s="3"/>
      <c r="K754" s="3"/>
      <c r="M754" s="10"/>
      <c r="N754" s="3"/>
      <c r="O754" s="3"/>
      <c r="P754" s="3"/>
    </row>
    <row r="755" spans="4:16" x14ac:dyDescent="0.25">
      <c r="D755" s="2"/>
      <c r="F755" s="3"/>
      <c r="G755" s="3"/>
      <c r="H755" s="3"/>
      <c r="I755" s="3"/>
      <c r="J755" s="3"/>
      <c r="K755" s="3"/>
      <c r="M755" s="10"/>
      <c r="N755" s="3"/>
      <c r="O755" s="3"/>
      <c r="P755" s="3"/>
    </row>
    <row r="756" spans="4:16" x14ac:dyDescent="0.25">
      <c r="D756" s="2"/>
      <c r="F756" s="3"/>
      <c r="G756" s="3"/>
      <c r="H756" s="3"/>
      <c r="I756" s="3"/>
      <c r="J756" s="3"/>
      <c r="K756" s="3"/>
      <c r="M756" s="10"/>
      <c r="N756" s="3"/>
      <c r="O756" s="3"/>
      <c r="P756" s="3"/>
    </row>
    <row r="757" spans="4:16" x14ac:dyDescent="0.25">
      <c r="D757" s="2"/>
      <c r="F757" s="3"/>
      <c r="G757" s="3"/>
      <c r="H757" s="3"/>
      <c r="I757" s="3"/>
      <c r="J757" s="3"/>
      <c r="K757" s="3"/>
      <c r="M757" s="10"/>
      <c r="N757" s="3"/>
      <c r="O757" s="3"/>
      <c r="P757" s="3"/>
    </row>
    <row r="758" spans="4:16" x14ac:dyDescent="0.25">
      <c r="D758" s="2"/>
      <c r="F758" s="3"/>
      <c r="G758" s="3"/>
      <c r="H758" s="3"/>
      <c r="I758" s="3"/>
      <c r="J758" s="3"/>
      <c r="K758" s="3"/>
      <c r="M758" s="10"/>
      <c r="N758" s="3"/>
      <c r="O758" s="3"/>
      <c r="P758" s="3"/>
    </row>
    <row r="759" spans="4:16" x14ac:dyDescent="0.25">
      <c r="D759" s="2"/>
      <c r="F759" s="3"/>
      <c r="G759" s="3"/>
      <c r="H759" s="3"/>
      <c r="I759" s="3"/>
      <c r="J759" s="3"/>
      <c r="K759" s="3"/>
      <c r="M759" s="10"/>
      <c r="N759" s="3"/>
      <c r="O759" s="3"/>
      <c r="P759" s="3"/>
    </row>
    <row r="760" spans="4:16" x14ac:dyDescent="0.25">
      <c r="D760" s="2"/>
      <c r="F760" s="3"/>
      <c r="G760" s="3"/>
      <c r="H760" s="3"/>
      <c r="I760" s="3"/>
      <c r="J760" s="3"/>
      <c r="K760" s="3"/>
      <c r="M760" s="10"/>
      <c r="N760" s="3"/>
      <c r="O760" s="3"/>
      <c r="P760" s="3"/>
    </row>
    <row r="761" spans="4:16" x14ac:dyDescent="0.25">
      <c r="D761" s="2"/>
      <c r="F761" s="3"/>
      <c r="G761" s="3"/>
      <c r="H761" s="3"/>
      <c r="I761" s="3"/>
      <c r="J761" s="3"/>
      <c r="K761" s="3"/>
      <c r="M761" s="10"/>
      <c r="N761" s="3"/>
      <c r="O761" s="3"/>
      <c r="P761" s="3"/>
    </row>
    <row r="762" spans="4:16" x14ac:dyDescent="0.25">
      <c r="D762" s="2"/>
      <c r="F762" s="3"/>
      <c r="G762" s="3"/>
      <c r="H762" s="3"/>
      <c r="I762" s="3"/>
      <c r="J762" s="3"/>
      <c r="K762" s="3"/>
      <c r="M762" s="10"/>
      <c r="N762" s="3"/>
      <c r="O762" s="3"/>
      <c r="P762" s="3"/>
    </row>
    <row r="763" spans="4:16" x14ac:dyDescent="0.25">
      <c r="D763" s="2"/>
      <c r="F763" s="3"/>
      <c r="G763" s="3"/>
      <c r="H763" s="3"/>
      <c r="I763" s="3"/>
      <c r="J763" s="3"/>
      <c r="K763" s="3"/>
      <c r="M763" s="10"/>
      <c r="N763" s="3"/>
      <c r="O763" s="3"/>
      <c r="P763" s="3"/>
    </row>
    <row r="764" spans="4:16" x14ac:dyDescent="0.25">
      <c r="D764" s="2"/>
      <c r="F764" s="3"/>
      <c r="G764" s="3"/>
      <c r="H764" s="3"/>
      <c r="I764" s="3"/>
      <c r="J764" s="3"/>
      <c r="K764" s="3"/>
      <c r="M764" s="10"/>
      <c r="N764" s="3"/>
      <c r="O764" s="3"/>
      <c r="P764" s="3"/>
    </row>
    <row r="765" spans="4:16" x14ac:dyDescent="0.25">
      <c r="D765" s="2"/>
      <c r="F765" s="3"/>
      <c r="G765" s="3"/>
      <c r="H765" s="3"/>
      <c r="I765" s="3"/>
      <c r="J765" s="3"/>
      <c r="K765" s="3"/>
      <c r="M765" s="10"/>
      <c r="N765" s="3"/>
      <c r="O765" s="3"/>
      <c r="P765" s="3"/>
    </row>
    <row r="766" spans="4:16" x14ac:dyDescent="0.25">
      <c r="D766" s="2"/>
      <c r="F766" s="3"/>
      <c r="G766" s="3"/>
      <c r="H766" s="3"/>
      <c r="I766" s="3"/>
      <c r="J766" s="3"/>
      <c r="K766" s="3"/>
      <c r="M766" s="10"/>
      <c r="N766" s="3"/>
      <c r="O766" s="3"/>
      <c r="P766" s="3"/>
    </row>
    <row r="767" spans="4:16" x14ac:dyDescent="0.25">
      <c r="D767" s="2"/>
      <c r="F767" s="3"/>
      <c r="G767" s="3"/>
      <c r="H767" s="3"/>
      <c r="I767" s="3"/>
      <c r="J767" s="3"/>
      <c r="K767" s="3"/>
      <c r="M767" s="10"/>
      <c r="N767" s="3"/>
      <c r="O767" s="3"/>
      <c r="P767" s="3"/>
    </row>
    <row r="768" spans="4:16" x14ac:dyDescent="0.25">
      <c r="D768" s="2"/>
      <c r="F768" s="3"/>
      <c r="G768" s="3"/>
      <c r="H768" s="3"/>
      <c r="I768" s="3"/>
      <c r="J768" s="3"/>
      <c r="K768" s="3"/>
      <c r="M768" s="10"/>
      <c r="N768" s="3"/>
      <c r="O768" s="3"/>
      <c r="P768" s="3"/>
    </row>
    <row r="769" spans="4:16" x14ac:dyDescent="0.25">
      <c r="D769" s="2"/>
      <c r="F769" s="3"/>
      <c r="G769" s="3"/>
      <c r="H769" s="3"/>
      <c r="I769" s="3"/>
      <c r="J769" s="3"/>
      <c r="K769" s="3"/>
      <c r="M769" s="10"/>
      <c r="N769" s="3"/>
      <c r="O769" s="3"/>
      <c r="P769" s="3"/>
    </row>
    <row r="770" spans="4:16" x14ac:dyDescent="0.25">
      <c r="D770" s="2"/>
      <c r="F770" s="3"/>
      <c r="G770" s="3"/>
      <c r="H770" s="3"/>
      <c r="I770" s="3"/>
      <c r="J770" s="3"/>
      <c r="K770" s="3"/>
      <c r="M770" s="10"/>
      <c r="N770" s="3"/>
      <c r="O770" s="3"/>
      <c r="P770" s="3"/>
    </row>
    <row r="771" spans="4:16" x14ac:dyDescent="0.25">
      <c r="D771" s="2"/>
      <c r="F771" s="3"/>
      <c r="G771" s="3"/>
      <c r="H771" s="3"/>
      <c r="I771" s="3"/>
      <c r="J771" s="3"/>
      <c r="K771" s="3"/>
      <c r="M771" s="10"/>
      <c r="N771" s="3"/>
      <c r="O771" s="3"/>
      <c r="P771" s="3"/>
    </row>
    <row r="772" spans="4:16" x14ac:dyDescent="0.25">
      <c r="D772" s="2"/>
      <c r="F772" s="3"/>
      <c r="G772" s="3"/>
      <c r="H772" s="3"/>
      <c r="I772" s="3"/>
      <c r="J772" s="3"/>
      <c r="K772" s="3"/>
      <c r="M772" s="10"/>
      <c r="N772" s="3"/>
      <c r="O772" s="3"/>
      <c r="P772" s="3"/>
    </row>
    <row r="773" spans="4:16" x14ac:dyDescent="0.25">
      <c r="D773" s="2"/>
      <c r="F773" s="3"/>
      <c r="G773" s="3"/>
      <c r="H773" s="3"/>
      <c r="I773" s="3"/>
      <c r="J773" s="3"/>
      <c r="K773" s="3"/>
      <c r="M773" s="10"/>
      <c r="N773" s="3"/>
      <c r="O773" s="3"/>
      <c r="P773" s="3"/>
    </row>
    <row r="774" spans="4:16" x14ac:dyDescent="0.25">
      <c r="D774" s="2"/>
      <c r="F774" s="3"/>
      <c r="G774" s="3"/>
      <c r="H774" s="3"/>
      <c r="I774" s="3"/>
      <c r="J774" s="3"/>
      <c r="K774" s="3"/>
      <c r="M774" s="10"/>
      <c r="N774" s="3"/>
      <c r="O774" s="3"/>
      <c r="P774" s="3"/>
    </row>
    <row r="775" spans="4:16" x14ac:dyDescent="0.25">
      <c r="D775" s="2"/>
      <c r="F775" s="3"/>
      <c r="G775" s="3"/>
      <c r="H775" s="3"/>
      <c r="I775" s="3"/>
      <c r="J775" s="3"/>
      <c r="K775" s="3"/>
      <c r="M775" s="10"/>
      <c r="N775" s="3"/>
      <c r="O775" s="3"/>
      <c r="P775" s="3"/>
    </row>
    <row r="776" spans="4:16" x14ac:dyDescent="0.25">
      <c r="D776" s="2"/>
      <c r="F776" s="3"/>
      <c r="G776" s="3"/>
      <c r="H776" s="3"/>
      <c r="I776" s="3"/>
      <c r="J776" s="3"/>
      <c r="K776" s="3"/>
      <c r="M776" s="10"/>
      <c r="N776" s="3"/>
      <c r="O776" s="3"/>
      <c r="P776" s="3"/>
    </row>
    <row r="777" spans="4:16" x14ac:dyDescent="0.25">
      <c r="D777" s="2"/>
      <c r="F777" s="3"/>
      <c r="G777" s="3"/>
      <c r="H777" s="3"/>
      <c r="I777" s="3"/>
      <c r="J777" s="3"/>
      <c r="K777" s="3"/>
      <c r="M777" s="10"/>
      <c r="N777" s="3"/>
      <c r="O777" s="3"/>
      <c r="P777" s="3"/>
    </row>
    <row r="778" spans="4:16" x14ac:dyDescent="0.25">
      <c r="D778" s="2"/>
      <c r="F778" s="3"/>
      <c r="G778" s="3"/>
      <c r="H778" s="3"/>
      <c r="I778" s="3"/>
      <c r="J778" s="3"/>
      <c r="K778" s="3"/>
      <c r="M778" s="10"/>
      <c r="N778" s="3"/>
      <c r="O778" s="3"/>
      <c r="P778" s="3"/>
    </row>
    <row r="779" spans="4:16" x14ac:dyDescent="0.25">
      <c r="D779" s="2"/>
      <c r="F779" s="3"/>
      <c r="G779" s="3"/>
      <c r="H779" s="3"/>
      <c r="I779" s="3"/>
      <c r="J779" s="3"/>
      <c r="K779" s="3"/>
      <c r="M779" s="10"/>
      <c r="N779" s="3"/>
      <c r="O779" s="3"/>
      <c r="P779" s="3"/>
    </row>
    <row r="780" spans="4:16" x14ac:dyDescent="0.25">
      <c r="D780" s="2"/>
      <c r="F780" s="3"/>
      <c r="G780" s="3"/>
      <c r="H780" s="3"/>
      <c r="I780" s="3"/>
      <c r="J780" s="3"/>
      <c r="K780" s="3"/>
      <c r="M780" s="10"/>
      <c r="N780" s="3"/>
      <c r="O780" s="3"/>
      <c r="P780" s="3"/>
    </row>
    <row r="781" spans="4:16" x14ac:dyDescent="0.25">
      <c r="D781" s="2"/>
      <c r="F781" s="3"/>
      <c r="G781" s="3"/>
      <c r="H781" s="3"/>
      <c r="I781" s="3"/>
      <c r="J781" s="3"/>
      <c r="K781" s="3"/>
      <c r="M781" s="10"/>
      <c r="N781" s="3"/>
      <c r="O781" s="3"/>
      <c r="P781" s="3"/>
    </row>
    <row r="782" spans="4:16" x14ac:dyDescent="0.25">
      <c r="D782" s="2"/>
      <c r="F782" s="3"/>
      <c r="G782" s="3"/>
      <c r="H782" s="3"/>
      <c r="I782" s="3"/>
      <c r="J782" s="3"/>
      <c r="K782" s="3"/>
      <c r="M782" s="10"/>
      <c r="N782" s="3"/>
      <c r="O782" s="3"/>
      <c r="P782" s="3"/>
    </row>
    <row r="783" spans="4:16" x14ac:dyDescent="0.25">
      <c r="D783" s="2"/>
      <c r="F783" s="3"/>
      <c r="G783" s="3"/>
      <c r="H783" s="3"/>
      <c r="I783" s="3"/>
      <c r="J783" s="3"/>
      <c r="K783" s="3"/>
      <c r="M783" s="10"/>
      <c r="N783" s="3"/>
      <c r="O783" s="3"/>
      <c r="P783" s="3"/>
    </row>
    <row r="784" spans="4:16" x14ac:dyDescent="0.25">
      <c r="D784" s="2"/>
      <c r="F784" s="3"/>
      <c r="G784" s="3"/>
      <c r="H784" s="3"/>
      <c r="I784" s="3"/>
      <c r="J784" s="3"/>
      <c r="K784" s="3"/>
      <c r="M784" s="10"/>
      <c r="N784" s="3"/>
      <c r="O784" s="3"/>
      <c r="P784" s="3"/>
    </row>
    <row r="785" spans="4:16" x14ac:dyDescent="0.25">
      <c r="D785" s="2"/>
      <c r="F785" s="3"/>
      <c r="G785" s="3"/>
      <c r="H785" s="3"/>
      <c r="I785" s="3"/>
      <c r="J785" s="3"/>
      <c r="K785" s="3"/>
      <c r="M785" s="10"/>
      <c r="N785" s="3"/>
      <c r="O785" s="3"/>
      <c r="P785" s="3"/>
    </row>
    <row r="786" spans="4:16" x14ac:dyDescent="0.25">
      <c r="D786" s="2"/>
      <c r="F786" s="3"/>
      <c r="G786" s="3"/>
      <c r="H786" s="3"/>
      <c r="I786" s="3"/>
      <c r="J786" s="3"/>
      <c r="K786" s="3"/>
      <c r="M786" s="10"/>
      <c r="N786" s="3"/>
      <c r="O786" s="3"/>
      <c r="P786" s="3"/>
    </row>
    <row r="787" spans="4:16" x14ac:dyDescent="0.25">
      <c r="D787" s="2"/>
      <c r="F787" s="3"/>
      <c r="G787" s="3"/>
      <c r="H787" s="3"/>
      <c r="I787" s="3"/>
      <c r="J787" s="3"/>
      <c r="K787" s="3"/>
      <c r="M787" s="10"/>
      <c r="N787" s="3"/>
      <c r="O787" s="3"/>
      <c r="P787" s="3"/>
    </row>
    <row r="788" spans="4:16" x14ac:dyDescent="0.25">
      <c r="D788" s="2"/>
      <c r="F788" s="3"/>
      <c r="G788" s="3"/>
      <c r="H788" s="3"/>
      <c r="I788" s="3"/>
      <c r="J788" s="3"/>
      <c r="K788" s="3"/>
      <c r="M788" s="10"/>
      <c r="N788" s="3"/>
      <c r="O788" s="3"/>
      <c r="P788" s="3"/>
    </row>
    <row r="789" spans="4:16" x14ac:dyDescent="0.25">
      <c r="D789" s="2"/>
      <c r="F789" s="3"/>
      <c r="G789" s="3"/>
      <c r="H789" s="3"/>
      <c r="I789" s="3"/>
      <c r="J789" s="3"/>
      <c r="K789" s="3"/>
      <c r="M789" s="10"/>
      <c r="N789" s="3"/>
      <c r="O789" s="3"/>
      <c r="P789" s="3"/>
    </row>
    <row r="790" spans="4:16" x14ac:dyDescent="0.25">
      <c r="D790" s="2"/>
      <c r="F790" s="3"/>
      <c r="G790" s="3"/>
      <c r="H790" s="3"/>
      <c r="I790" s="3"/>
      <c r="J790" s="3"/>
      <c r="K790" s="3"/>
      <c r="M790" s="10"/>
      <c r="N790" s="3"/>
      <c r="O790" s="3"/>
      <c r="P790" s="3"/>
    </row>
    <row r="791" spans="4:16" x14ac:dyDescent="0.25">
      <c r="D791" s="2"/>
      <c r="F791" s="3"/>
      <c r="G791" s="3"/>
      <c r="H791" s="3"/>
      <c r="I791" s="3"/>
      <c r="J791" s="3"/>
      <c r="K791" s="3"/>
      <c r="M791" s="10"/>
      <c r="N791" s="3"/>
      <c r="O791" s="3"/>
      <c r="P791" s="3"/>
    </row>
    <row r="792" spans="4:16" x14ac:dyDescent="0.25">
      <c r="D792" s="2"/>
      <c r="F792" s="3"/>
      <c r="G792" s="3"/>
      <c r="H792" s="3"/>
      <c r="I792" s="3"/>
      <c r="J792" s="3"/>
      <c r="K792" s="3"/>
      <c r="M792" s="10"/>
      <c r="N792" s="3"/>
      <c r="O792" s="3"/>
      <c r="P792" s="3"/>
    </row>
    <row r="793" spans="4:16" x14ac:dyDescent="0.25">
      <c r="D793" s="2"/>
      <c r="F793" s="3"/>
      <c r="G793" s="3"/>
      <c r="H793" s="3"/>
      <c r="I793" s="3"/>
      <c r="J793" s="3"/>
      <c r="K793" s="3"/>
      <c r="M793" s="10"/>
      <c r="N793" s="3"/>
      <c r="O793" s="3"/>
      <c r="P793" s="3"/>
    </row>
    <row r="794" spans="4:16" x14ac:dyDescent="0.25">
      <c r="D794" s="2"/>
      <c r="F794" s="3"/>
      <c r="G794" s="3"/>
      <c r="H794" s="3"/>
      <c r="I794" s="3"/>
      <c r="J794" s="3"/>
      <c r="K794" s="3"/>
      <c r="M794" s="10"/>
      <c r="N794" s="3"/>
      <c r="O794" s="3"/>
      <c r="P794" s="3"/>
    </row>
    <row r="795" spans="4:16" x14ac:dyDescent="0.25">
      <c r="D795" s="2"/>
      <c r="F795" s="3"/>
      <c r="G795" s="3"/>
      <c r="H795" s="3"/>
      <c r="I795" s="3"/>
      <c r="J795" s="3"/>
      <c r="K795" s="3"/>
      <c r="M795" s="10"/>
      <c r="N795" s="3"/>
      <c r="O795" s="3"/>
      <c r="P795" s="3"/>
    </row>
    <row r="796" spans="4:16" x14ac:dyDescent="0.25">
      <c r="D796" s="2"/>
      <c r="F796" s="3"/>
      <c r="G796" s="3"/>
      <c r="H796" s="3"/>
      <c r="I796" s="3"/>
      <c r="J796" s="3"/>
      <c r="K796" s="3"/>
      <c r="M796" s="10"/>
      <c r="N796" s="3"/>
      <c r="O796" s="3"/>
      <c r="P796" s="3"/>
    </row>
    <row r="797" spans="4:16" x14ac:dyDescent="0.25">
      <c r="D797" s="2"/>
      <c r="F797" s="3"/>
      <c r="G797" s="3"/>
      <c r="H797" s="3"/>
      <c r="I797" s="3"/>
      <c r="J797" s="3"/>
      <c r="K797" s="3"/>
      <c r="M797" s="10"/>
      <c r="N797" s="3"/>
      <c r="O797" s="3"/>
      <c r="P797" s="3"/>
    </row>
    <row r="798" spans="4:16" x14ac:dyDescent="0.25">
      <c r="D798" s="2"/>
      <c r="F798" s="3"/>
      <c r="G798" s="3"/>
      <c r="H798" s="3"/>
      <c r="I798" s="3"/>
      <c r="J798" s="3"/>
      <c r="K798" s="3"/>
      <c r="M798" s="10"/>
      <c r="N798" s="3"/>
      <c r="O798" s="3"/>
      <c r="P798" s="3"/>
    </row>
    <row r="799" spans="4:16" x14ac:dyDescent="0.25">
      <c r="D799" s="2"/>
      <c r="F799" s="3"/>
      <c r="G799" s="3"/>
      <c r="H799" s="3"/>
      <c r="I799" s="3"/>
      <c r="J799" s="3"/>
      <c r="K799" s="3"/>
      <c r="M799" s="10"/>
      <c r="N799" s="3"/>
      <c r="O799" s="3"/>
      <c r="P799" s="3"/>
    </row>
    <row r="800" spans="4:16" x14ac:dyDescent="0.25">
      <c r="D800" s="2"/>
      <c r="F800" s="3"/>
      <c r="G800" s="3"/>
      <c r="H800" s="3"/>
      <c r="I800" s="3"/>
      <c r="J800" s="3"/>
      <c r="K800" s="3"/>
      <c r="M800" s="10"/>
      <c r="N800" s="3"/>
      <c r="O800" s="3"/>
      <c r="P800" s="3"/>
    </row>
    <row r="801" spans="4:16" x14ac:dyDescent="0.25">
      <c r="D801" s="2"/>
      <c r="F801" s="3"/>
      <c r="G801" s="3"/>
      <c r="H801" s="3"/>
      <c r="I801" s="3"/>
      <c r="J801" s="3"/>
      <c r="K801" s="3"/>
      <c r="M801" s="10"/>
      <c r="N801" s="3"/>
      <c r="O801" s="3"/>
      <c r="P801" s="3"/>
    </row>
    <row r="802" spans="4:16" x14ac:dyDescent="0.25">
      <c r="D802" s="2"/>
      <c r="F802" s="3"/>
      <c r="G802" s="3"/>
      <c r="H802" s="3"/>
      <c r="I802" s="3"/>
      <c r="J802" s="3"/>
      <c r="K802" s="3"/>
      <c r="M802" s="10"/>
      <c r="N802" s="3"/>
      <c r="O802" s="3"/>
      <c r="P802" s="3"/>
    </row>
    <row r="803" spans="4:16" x14ac:dyDescent="0.25">
      <c r="D803" s="2"/>
      <c r="F803" s="3"/>
      <c r="G803" s="3"/>
      <c r="H803" s="3"/>
      <c r="I803" s="3"/>
      <c r="J803" s="3"/>
      <c r="K803" s="3"/>
      <c r="M803" s="10"/>
      <c r="N803" s="3"/>
      <c r="O803" s="3"/>
      <c r="P803" s="3"/>
    </row>
    <row r="804" spans="4:16" x14ac:dyDescent="0.25">
      <c r="D804" s="2"/>
      <c r="F804" s="3"/>
      <c r="G804" s="3"/>
      <c r="H804" s="3"/>
      <c r="I804" s="3"/>
      <c r="J804" s="3"/>
      <c r="K804" s="3"/>
      <c r="M804" s="10"/>
      <c r="N804" s="3"/>
      <c r="O804" s="3"/>
      <c r="P804" s="3"/>
    </row>
    <row r="805" spans="4:16" x14ac:dyDescent="0.25">
      <c r="D805" s="2"/>
      <c r="F805" s="3"/>
      <c r="G805" s="3"/>
      <c r="H805" s="3"/>
      <c r="I805" s="3"/>
      <c r="J805" s="3"/>
      <c r="K805" s="3"/>
      <c r="M805" s="10"/>
      <c r="N805" s="3"/>
      <c r="O805" s="3"/>
      <c r="P805" s="3"/>
    </row>
    <row r="806" spans="4:16" x14ac:dyDescent="0.25">
      <c r="D806" s="2"/>
      <c r="F806" s="3"/>
      <c r="G806" s="3"/>
      <c r="H806" s="3"/>
      <c r="I806" s="3"/>
      <c r="J806" s="3"/>
      <c r="K806" s="3"/>
      <c r="M806" s="10"/>
      <c r="N806" s="3"/>
      <c r="O806" s="3"/>
      <c r="P806" s="3"/>
    </row>
    <row r="807" spans="4:16" x14ac:dyDescent="0.25">
      <c r="D807" s="2"/>
      <c r="F807" s="3"/>
      <c r="G807" s="3"/>
      <c r="H807" s="3"/>
      <c r="I807" s="3"/>
      <c r="J807" s="3"/>
      <c r="K807" s="3"/>
      <c r="M807" s="10"/>
      <c r="N807" s="3"/>
      <c r="O807" s="3"/>
      <c r="P807" s="3"/>
    </row>
    <row r="808" spans="4:16" x14ac:dyDescent="0.25">
      <c r="D808" s="2"/>
      <c r="F808" s="3"/>
      <c r="G808" s="3"/>
      <c r="H808" s="3"/>
      <c r="I808" s="3"/>
      <c r="J808" s="3"/>
      <c r="K808" s="3"/>
      <c r="M808" s="10"/>
      <c r="N808" s="3"/>
      <c r="O808" s="3"/>
      <c r="P808" s="3"/>
    </row>
    <row r="809" spans="4:16" x14ac:dyDescent="0.25">
      <c r="D809" s="2"/>
      <c r="F809" s="3"/>
      <c r="G809" s="3"/>
      <c r="H809" s="3"/>
      <c r="I809" s="3"/>
      <c r="J809" s="3"/>
      <c r="K809" s="3"/>
      <c r="M809" s="10"/>
      <c r="N809" s="3"/>
      <c r="O809" s="3"/>
      <c r="P809" s="3"/>
    </row>
    <row r="810" spans="4:16" x14ac:dyDescent="0.25">
      <c r="D810" s="2"/>
      <c r="F810" s="3"/>
      <c r="G810" s="3"/>
      <c r="H810" s="3"/>
      <c r="I810" s="3"/>
      <c r="J810" s="3"/>
      <c r="K810" s="3"/>
      <c r="M810" s="10"/>
      <c r="N810" s="3"/>
      <c r="O810" s="3"/>
      <c r="P810" s="3"/>
    </row>
    <row r="811" spans="4:16" x14ac:dyDescent="0.25">
      <c r="D811" s="2"/>
      <c r="F811" s="3"/>
      <c r="G811" s="3"/>
      <c r="H811" s="3"/>
      <c r="I811" s="3"/>
      <c r="J811" s="3"/>
      <c r="K811" s="3"/>
      <c r="M811" s="10"/>
      <c r="N811" s="3"/>
      <c r="O811" s="3"/>
      <c r="P811" s="3"/>
    </row>
    <row r="812" spans="4:16" x14ac:dyDescent="0.25">
      <c r="D812" s="2"/>
      <c r="F812" s="3"/>
      <c r="G812" s="3"/>
      <c r="H812" s="3"/>
      <c r="I812" s="3"/>
      <c r="J812" s="3"/>
      <c r="K812" s="3"/>
      <c r="M812" s="10"/>
      <c r="N812" s="3"/>
      <c r="O812" s="3"/>
      <c r="P812" s="3"/>
    </row>
    <row r="813" spans="4:16" x14ac:dyDescent="0.25">
      <c r="D813" s="2"/>
      <c r="F813" s="3"/>
      <c r="G813" s="3"/>
      <c r="H813" s="3"/>
      <c r="I813" s="3"/>
      <c r="J813" s="3"/>
      <c r="K813" s="3"/>
      <c r="M813" s="10"/>
      <c r="N813" s="3"/>
      <c r="O813" s="3"/>
      <c r="P813" s="3"/>
    </row>
    <row r="814" spans="4:16" x14ac:dyDescent="0.25">
      <c r="D814" s="2"/>
      <c r="F814" s="3"/>
      <c r="G814" s="3"/>
      <c r="H814" s="3"/>
      <c r="I814" s="3"/>
      <c r="J814" s="3"/>
      <c r="K814" s="3"/>
      <c r="M814" s="10"/>
      <c r="N814" s="3"/>
      <c r="O814" s="3"/>
      <c r="P814" s="3"/>
    </row>
    <row r="815" spans="4:16" x14ac:dyDescent="0.25">
      <c r="D815" s="2"/>
      <c r="F815" s="3"/>
      <c r="G815" s="3"/>
      <c r="H815" s="3"/>
      <c r="I815" s="3"/>
      <c r="J815" s="3"/>
      <c r="K815" s="3"/>
      <c r="M815" s="10"/>
      <c r="N815" s="3"/>
      <c r="O815" s="3"/>
      <c r="P815" s="3"/>
    </row>
    <row r="816" spans="4:16" x14ac:dyDescent="0.25">
      <c r="D816" s="2"/>
      <c r="F816" s="3"/>
      <c r="G816" s="3"/>
      <c r="H816" s="3"/>
      <c r="I816" s="3"/>
      <c r="J816" s="3"/>
      <c r="K816" s="3"/>
      <c r="M816" s="10"/>
      <c r="N816" s="3"/>
      <c r="O816" s="3"/>
      <c r="P816" s="3"/>
    </row>
    <row r="817" spans="4:16" x14ac:dyDescent="0.25">
      <c r="D817" s="2"/>
      <c r="F817" s="3"/>
      <c r="G817" s="3"/>
      <c r="H817" s="3"/>
      <c r="I817" s="3"/>
      <c r="J817" s="3"/>
      <c r="K817" s="3"/>
      <c r="M817" s="10"/>
      <c r="N817" s="3"/>
      <c r="O817" s="3"/>
      <c r="P817" s="3"/>
    </row>
    <row r="818" spans="4:16" x14ac:dyDescent="0.25">
      <c r="D818" s="2"/>
      <c r="F818" s="3"/>
      <c r="G818" s="3"/>
      <c r="H818" s="3"/>
      <c r="I818" s="3"/>
      <c r="J818" s="3"/>
      <c r="K818" s="3"/>
      <c r="M818" s="10"/>
      <c r="N818" s="3"/>
      <c r="O818" s="3"/>
      <c r="P818" s="3"/>
    </row>
    <row r="819" spans="4:16" x14ac:dyDescent="0.25">
      <c r="D819" s="2"/>
      <c r="F819" s="3"/>
      <c r="G819" s="3"/>
      <c r="H819" s="3"/>
      <c r="I819" s="3"/>
      <c r="J819" s="3"/>
      <c r="K819" s="3"/>
      <c r="M819" s="10"/>
      <c r="N819" s="3"/>
      <c r="O819" s="3"/>
      <c r="P819" s="3"/>
    </row>
    <row r="820" spans="4:16" x14ac:dyDescent="0.25">
      <c r="D820" s="2"/>
      <c r="F820" s="3"/>
      <c r="G820" s="3"/>
      <c r="H820" s="3"/>
      <c r="I820" s="3"/>
      <c r="J820" s="3"/>
      <c r="K820" s="3"/>
      <c r="M820" s="10"/>
      <c r="N820" s="3"/>
      <c r="O820" s="3"/>
      <c r="P820" s="3"/>
    </row>
    <row r="821" spans="4:16" x14ac:dyDescent="0.25">
      <c r="D821" s="2"/>
      <c r="F821" s="3"/>
      <c r="G821" s="3"/>
      <c r="H821" s="3"/>
      <c r="I821" s="3"/>
      <c r="J821" s="3"/>
      <c r="K821" s="3"/>
      <c r="M821" s="10"/>
      <c r="N821" s="3"/>
      <c r="O821" s="3"/>
      <c r="P821" s="3"/>
    </row>
    <row r="822" spans="4:16" x14ac:dyDescent="0.25">
      <c r="D822" s="2"/>
      <c r="F822" s="3"/>
      <c r="G822" s="3"/>
      <c r="H822" s="3"/>
      <c r="I822" s="3"/>
      <c r="J822" s="3"/>
      <c r="K822" s="3"/>
      <c r="M822" s="10"/>
      <c r="N822" s="3"/>
      <c r="O822" s="3"/>
      <c r="P822" s="3"/>
    </row>
    <row r="823" spans="4:16" x14ac:dyDescent="0.25">
      <c r="D823" s="2"/>
      <c r="F823" s="3"/>
      <c r="G823" s="3"/>
      <c r="H823" s="3"/>
      <c r="I823" s="3"/>
      <c r="J823" s="3"/>
      <c r="K823" s="3"/>
      <c r="M823" s="10"/>
      <c r="N823" s="3"/>
      <c r="O823" s="3"/>
      <c r="P823" s="3"/>
    </row>
    <row r="824" spans="4:16" x14ac:dyDescent="0.25">
      <c r="D824" s="2"/>
      <c r="F824" s="3"/>
      <c r="G824" s="3"/>
      <c r="H824" s="3"/>
      <c r="I824" s="3"/>
      <c r="J824" s="3"/>
      <c r="K824" s="3"/>
      <c r="M824" s="10"/>
      <c r="N824" s="3"/>
      <c r="O824" s="3"/>
      <c r="P824" s="3"/>
    </row>
    <row r="825" spans="4:16" x14ac:dyDescent="0.25">
      <c r="D825" s="2"/>
      <c r="F825" s="3"/>
      <c r="G825" s="3"/>
      <c r="H825" s="3"/>
      <c r="I825" s="3"/>
      <c r="J825" s="3"/>
      <c r="K825" s="3"/>
      <c r="M825" s="10"/>
      <c r="N825" s="3"/>
      <c r="O825" s="3"/>
      <c r="P825" s="3"/>
    </row>
    <row r="826" spans="4:16" x14ac:dyDescent="0.25">
      <c r="D826" s="2"/>
      <c r="F826" s="3"/>
      <c r="G826" s="3"/>
      <c r="H826" s="3"/>
      <c r="I826" s="3"/>
      <c r="J826" s="3"/>
      <c r="K826" s="3"/>
      <c r="M826" s="10"/>
      <c r="N826" s="3"/>
      <c r="O826" s="3"/>
      <c r="P826" s="3"/>
    </row>
    <row r="827" spans="4:16" x14ac:dyDescent="0.25">
      <c r="D827" s="2"/>
      <c r="F827" s="3"/>
      <c r="G827" s="3"/>
      <c r="H827" s="3"/>
      <c r="I827" s="3"/>
      <c r="J827" s="3"/>
      <c r="K827" s="3"/>
      <c r="M827" s="10"/>
      <c r="N827" s="3"/>
      <c r="O827" s="3"/>
      <c r="P827" s="3"/>
    </row>
    <row r="828" spans="4:16" x14ac:dyDescent="0.25">
      <c r="D828" s="2"/>
      <c r="F828" s="3"/>
      <c r="G828" s="3"/>
      <c r="H828" s="3"/>
      <c r="I828" s="3"/>
      <c r="J828" s="3"/>
      <c r="K828" s="3"/>
      <c r="M828" s="10"/>
      <c r="N828" s="3"/>
      <c r="O828" s="3"/>
      <c r="P828" s="3"/>
    </row>
    <row r="829" spans="4:16" x14ac:dyDescent="0.25">
      <c r="D829" s="2"/>
      <c r="F829" s="3"/>
      <c r="G829" s="3"/>
      <c r="H829" s="3"/>
      <c r="I829" s="3"/>
      <c r="J829" s="3"/>
      <c r="K829" s="3"/>
      <c r="M829" s="10"/>
      <c r="N829" s="3"/>
      <c r="O829" s="3"/>
      <c r="P829" s="3"/>
    </row>
    <row r="830" spans="4:16" x14ac:dyDescent="0.25">
      <c r="D830" s="2"/>
      <c r="F830" s="3"/>
      <c r="G830" s="3"/>
      <c r="H830" s="3"/>
      <c r="I830" s="3"/>
      <c r="J830" s="3"/>
      <c r="K830" s="3"/>
      <c r="M830" s="10"/>
      <c r="N830" s="3"/>
      <c r="O830" s="3"/>
      <c r="P830" s="3"/>
    </row>
    <row r="831" spans="4:16" x14ac:dyDescent="0.25">
      <c r="D831" s="2"/>
      <c r="F831" s="3"/>
      <c r="G831" s="3"/>
      <c r="H831" s="3"/>
      <c r="I831" s="3"/>
      <c r="J831" s="3"/>
      <c r="K831" s="3"/>
      <c r="M831" s="10"/>
      <c r="N831" s="3"/>
      <c r="O831" s="3"/>
      <c r="P831" s="3"/>
    </row>
    <row r="832" spans="4:16" x14ac:dyDescent="0.25">
      <c r="D832" s="2"/>
      <c r="F832" s="3"/>
      <c r="G832" s="3"/>
      <c r="H832" s="3"/>
      <c r="I832" s="3"/>
      <c r="J832" s="3"/>
      <c r="K832" s="3"/>
      <c r="M832" s="10"/>
      <c r="N832" s="3"/>
      <c r="O832" s="3"/>
      <c r="P832" s="3"/>
    </row>
    <row r="833" spans="4:16" x14ac:dyDescent="0.25">
      <c r="D833" s="2"/>
      <c r="F833" s="3"/>
      <c r="G833" s="3"/>
      <c r="H833" s="3"/>
      <c r="I833" s="3"/>
      <c r="J833" s="3"/>
      <c r="K833" s="3"/>
      <c r="M833" s="10"/>
      <c r="N833" s="3"/>
      <c r="O833" s="3"/>
      <c r="P833" s="3"/>
    </row>
    <row r="834" spans="4:16" x14ac:dyDescent="0.25">
      <c r="D834" s="2"/>
      <c r="F834" s="3"/>
      <c r="G834" s="3"/>
      <c r="H834" s="3"/>
      <c r="I834" s="3"/>
      <c r="J834" s="3"/>
      <c r="K834" s="3"/>
      <c r="M834" s="10"/>
      <c r="N834" s="3"/>
      <c r="O834" s="3"/>
      <c r="P834" s="3"/>
    </row>
    <row r="835" spans="4:16" x14ac:dyDescent="0.25">
      <c r="D835" s="2"/>
      <c r="F835" s="3"/>
      <c r="G835" s="3"/>
      <c r="H835" s="3"/>
      <c r="I835" s="3"/>
      <c r="J835" s="3"/>
      <c r="K835" s="3"/>
      <c r="M835" s="10"/>
      <c r="N835" s="3"/>
      <c r="O835" s="3"/>
      <c r="P835" s="3"/>
    </row>
    <row r="836" spans="4:16" x14ac:dyDescent="0.25">
      <c r="D836" s="2"/>
      <c r="F836" s="3"/>
      <c r="G836" s="3"/>
      <c r="H836" s="3"/>
      <c r="I836" s="3"/>
      <c r="J836" s="3"/>
      <c r="K836" s="3"/>
      <c r="M836" s="10"/>
      <c r="N836" s="3"/>
      <c r="O836" s="3"/>
      <c r="P836" s="3"/>
    </row>
    <row r="837" spans="4:16" x14ac:dyDescent="0.25">
      <c r="D837" s="2"/>
      <c r="F837" s="3"/>
      <c r="G837" s="3"/>
      <c r="H837" s="3"/>
      <c r="I837" s="3"/>
      <c r="J837" s="3"/>
      <c r="K837" s="3"/>
      <c r="M837" s="10"/>
      <c r="N837" s="3"/>
      <c r="O837" s="3"/>
      <c r="P837" s="3"/>
    </row>
    <row r="838" spans="4:16" x14ac:dyDescent="0.25">
      <c r="D838" s="2"/>
      <c r="F838" s="3"/>
      <c r="G838" s="3"/>
      <c r="H838" s="3"/>
      <c r="I838" s="3"/>
      <c r="J838" s="3"/>
      <c r="K838" s="3"/>
      <c r="M838" s="10"/>
      <c r="N838" s="3"/>
      <c r="O838" s="3"/>
      <c r="P838" s="3"/>
    </row>
    <row r="839" spans="4:16" x14ac:dyDescent="0.25">
      <c r="D839" s="2"/>
      <c r="F839" s="3"/>
      <c r="G839" s="3"/>
      <c r="H839" s="3"/>
      <c r="I839" s="3"/>
      <c r="J839" s="3"/>
      <c r="K839" s="3"/>
      <c r="M839" s="10"/>
      <c r="N839" s="3"/>
      <c r="O839" s="3"/>
      <c r="P839" s="3"/>
    </row>
    <row r="840" spans="4:16" x14ac:dyDescent="0.25">
      <c r="D840" s="2"/>
      <c r="F840" s="3"/>
      <c r="G840" s="3"/>
      <c r="H840" s="3"/>
      <c r="I840" s="3"/>
      <c r="J840" s="3"/>
      <c r="K840" s="3"/>
      <c r="M840" s="10"/>
      <c r="N840" s="3"/>
      <c r="O840" s="3"/>
      <c r="P840" s="3"/>
    </row>
    <row r="841" spans="4:16" x14ac:dyDescent="0.25">
      <c r="D841" s="2"/>
      <c r="F841" s="3"/>
      <c r="G841" s="3"/>
      <c r="H841" s="3"/>
      <c r="I841" s="3"/>
      <c r="J841" s="3"/>
      <c r="K841" s="3"/>
      <c r="M841" s="10"/>
      <c r="N841" s="3"/>
      <c r="O841" s="3"/>
      <c r="P841" s="3"/>
    </row>
    <row r="842" spans="4:16" x14ac:dyDescent="0.25">
      <c r="D842" s="2"/>
      <c r="F842" s="3"/>
      <c r="G842" s="3"/>
      <c r="H842" s="3"/>
      <c r="I842" s="3"/>
      <c r="J842" s="3"/>
      <c r="K842" s="3"/>
      <c r="M842" s="10"/>
      <c r="N842" s="3"/>
      <c r="O842" s="3"/>
      <c r="P842" s="3"/>
    </row>
    <row r="843" spans="4:16" x14ac:dyDescent="0.25">
      <c r="D843" s="2"/>
      <c r="F843" s="3"/>
      <c r="G843" s="3"/>
      <c r="H843" s="3"/>
      <c r="I843" s="3"/>
      <c r="J843" s="3"/>
      <c r="K843" s="3"/>
      <c r="M843" s="10"/>
      <c r="N843" s="3"/>
      <c r="O843" s="3"/>
      <c r="P843" s="3"/>
    </row>
    <row r="844" spans="4:16" x14ac:dyDescent="0.25">
      <c r="D844" s="2"/>
      <c r="F844" s="3"/>
      <c r="G844" s="3"/>
      <c r="H844" s="3"/>
      <c r="I844" s="3"/>
      <c r="J844" s="3"/>
      <c r="K844" s="3"/>
      <c r="M844" s="10"/>
      <c r="N844" s="3"/>
      <c r="O844" s="3"/>
      <c r="P844" s="3"/>
    </row>
    <row r="845" spans="4:16" x14ac:dyDescent="0.25">
      <c r="D845" s="2"/>
      <c r="F845" s="3"/>
      <c r="G845" s="3"/>
      <c r="H845" s="3"/>
      <c r="I845" s="3"/>
      <c r="J845" s="3"/>
      <c r="K845" s="3"/>
      <c r="M845" s="10"/>
      <c r="N845" s="3"/>
      <c r="O845" s="3"/>
      <c r="P845" s="3"/>
    </row>
    <row r="846" spans="4:16" x14ac:dyDescent="0.25">
      <c r="D846" s="2"/>
      <c r="F846" s="3"/>
      <c r="G846" s="3"/>
      <c r="H846" s="3"/>
      <c r="I846" s="3"/>
      <c r="J846" s="3"/>
      <c r="K846" s="3"/>
      <c r="M846" s="10"/>
      <c r="N846" s="3"/>
      <c r="O846" s="3"/>
      <c r="P846" s="3"/>
    </row>
    <row r="847" spans="4:16" x14ac:dyDescent="0.25">
      <c r="D847" s="2"/>
      <c r="F847" s="3"/>
      <c r="G847" s="3"/>
      <c r="H847" s="3"/>
      <c r="I847" s="3"/>
      <c r="J847" s="3"/>
      <c r="K847" s="3"/>
      <c r="M847" s="10"/>
      <c r="N847" s="3"/>
      <c r="O847" s="3"/>
      <c r="P847" s="3"/>
    </row>
    <row r="848" spans="4:16" x14ac:dyDescent="0.25">
      <c r="D848" s="2"/>
      <c r="F848" s="3"/>
      <c r="G848" s="3"/>
      <c r="H848" s="3"/>
      <c r="I848" s="3"/>
      <c r="J848" s="3"/>
      <c r="K848" s="3"/>
      <c r="M848" s="10"/>
      <c r="N848" s="3"/>
      <c r="O848" s="3"/>
      <c r="P848" s="3"/>
    </row>
    <row r="849" spans="4:16" x14ac:dyDescent="0.25">
      <c r="D849" s="2"/>
      <c r="F849" s="3"/>
      <c r="G849" s="3"/>
      <c r="H849" s="3"/>
      <c r="I849" s="3"/>
      <c r="J849" s="3"/>
      <c r="K849" s="3"/>
      <c r="M849" s="10"/>
      <c r="N849" s="3"/>
      <c r="O849" s="3"/>
      <c r="P849" s="3"/>
    </row>
    <row r="850" spans="4:16" x14ac:dyDescent="0.25">
      <c r="D850" s="2"/>
      <c r="F850" s="3"/>
      <c r="G850" s="3"/>
      <c r="H850" s="3"/>
      <c r="I850" s="3"/>
      <c r="J850" s="3"/>
      <c r="K850" s="3"/>
      <c r="M850" s="10"/>
      <c r="N850" s="3"/>
      <c r="O850" s="3"/>
      <c r="P850" s="3"/>
    </row>
    <row r="851" spans="4:16" x14ac:dyDescent="0.25">
      <c r="D851" s="2"/>
      <c r="F851" s="3"/>
      <c r="G851" s="3"/>
      <c r="H851" s="3"/>
      <c r="I851" s="3"/>
      <c r="J851" s="3"/>
      <c r="K851" s="3"/>
      <c r="M851" s="10"/>
      <c r="N851" s="3"/>
      <c r="O851" s="3"/>
      <c r="P851" s="3"/>
    </row>
    <row r="852" spans="4:16" x14ac:dyDescent="0.25">
      <c r="D852" s="2"/>
      <c r="F852" s="3"/>
      <c r="G852" s="3"/>
      <c r="H852" s="3"/>
      <c r="I852" s="3"/>
      <c r="J852" s="3"/>
      <c r="K852" s="3"/>
      <c r="M852" s="10"/>
      <c r="N852" s="3"/>
      <c r="O852" s="3"/>
      <c r="P852" s="3"/>
    </row>
    <row r="853" spans="4:16" x14ac:dyDescent="0.25">
      <c r="D853" s="2"/>
      <c r="F853" s="3"/>
      <c r="G853" s="3"/>
      <c r="H853" s="3"/>
      <c r="I853" s="3"/>
      <c r="J853" s="3"/>
      <c r="K853" s="3"/>
      <c r="M853" s="10"/>
      <c r="N853" s="3"/>
      <c r="O853" s="3"/>
      <c r="P853" s="3"/>
    </row>
    <row r="854" spans="4:16" x14ac:dyDescent="0.25">
      <c r="D854" s="2"/>
      <c r="F854" s="3"/>
      <c r="G854" s="3"/>
      <c r="H854" s="3"/>
      <c r="I854" s="3"/>
      <c r="J854" s="3"/>
      <c r="K854" s="3"/>
      <c r="M854" s="10"/>
      <c r="N854" s="3"/>
      <c r="O854" s="3"/>
      <c r="P854" s="3"/>
    </row>
    <row r="855" spans="4:16" x14ac:dyDescent="0.25">
      <c r="D855" s="2"/>
      <c r="F855" s="3"/>
      <c r="G855" s="3"/>
      <c r="H855" s="3"/>
      <c r="I855" s="3"/>
      <c r="J855" s="3"/>
      <c r="K855" s="3"/>
      <c r="M855" s="10"/>
      <c r="N855" s="3"/>
      <c r="O855" s="3"/>
      <c r="P855" s="3"/>
    </row>
    <row r="856" spans="4:16" x14ac:dyDescent="0.25">
      <c r="D856" s="2"/>
      <c r="F856" s="3"/>
      <c r="G856" s="3"/>
      <c r="H856" s="3"/>
      <c r="I856" s="3"/>
      <c r="J856" s="3"/>
      <c r="K856" s="3"/>
      <c r="M856" s="10"/>
      <c r="N856" s="3"/>
      <c r="O856" s="3"/>
      <c r="P856" s="3"/>
    </row>
    <row r="857" spans="4:16" x14ac:dyDescent="0.25">
      <c r="D857" s="2"/>
      <c r="F857" s="3"/>
      <c r="G857" s="3"/>
      <c r="H857" s="3"/>
      <c r="I857" s="3"/>
      <c r="J857" s="3"/>
      <c r="K857" s="3"/>
      <c r="M857" s="10"/>
      <c r="N857" s="3"/>
      <c r="O857" s="3"/>
      <c r="P857" s="3"/>
    </row>
    <row r="858" spans="4:16" x14ac:dyDescent="0.25">
      <c r="D858" s="2"/>
      <c r="F858" s="3"/>
      <c r="G858" s="3"/>
      <c r="H858" s="3"/>
      <c r="I858" s="3"/>
      <c r="J858" s="3"/>
      <c r="K858" s="3"/>
      <c r="M858" s="10"/>
      <c r="N858" s="3"/>
      <c r="O858" s="3"/>
      <c r="P858" s="3"/>
    </row>
    <row r="859" spans="4:16" x14ac:dyDescent="0.25">
      <c r="D859" s="2"/>
      <c r="F859" s="3"/>
      <c r="G859" s="3"/>
      <c r="H859" s="3"/>
      <c r="I859" s="3"/>
      <c r="J859" s="3"/>
      <c r="K859" s="3"/>
      <c r="M859" s="10"/>
      <c r="N859" s="3"/>
      <c r="O859" s="3"/>
      <c r="P859" s="3"/>
    </row>
    <row r="860" spans="4:16" x14ac:dyDescent="0.25">
      <c r="D860" s="2"/>
      <c r="F860" s="3"/>
      <c r="G860" s="3"/>
      <c r="H860" s="3"/>
      <c r="I860" s="3"/>
      <c r="J860" s="3"/>
      <c r="K860" s="3"/>
      <c r="M860" s="10"/>
      <c r="N860" s="3"/>
      <c r="O860" s="3"/>
      <c r="P860" s="3"/>
    </row>
    <row r="861" spans="4:16" x14ac:dyDescent="0.25">
      <c r="D861" s="2"/>
      <c r="F861" s="3"/>
      <c r="G861" s="3"/>
      <c r="H861" s="3"/>
      <c r="I861" s="3"/>
      <c r="J861" s="3"/>
      <c r="K861" s="3"/>
      <c r="M861" s="10"/>
      <c r="N861" s="3"/>
      <c r="O861" s="3"/>
      <c r="P861" s="3"/>
    </row>
    <row r="862" spans="4:16" x14ac:dyDescent="0.25">
      <c r="D862" s="2"/>
      <c r="F862" s="3"/>
      <c r="G862" s="3"/>
      <c r="H862" s="3"/>
      <c r="I862" s="3"/>
      <c r="J862" s="3"/>
      <c r="K862" s="3"/>
      <c r="M862" s="10"/>
      <c r="N862" s="3"/>
      <c r="O862" s="3"/>
      <c r="P862" s="3"/>
    </row>
    <row r="863" spans="4:16" x14ac:dyDescent="0.25">
      <c r="D863" s="2"/>
      <c r="F863" s="3"/>
      <c r="G863" s="3"/>
      <c r="H863" s="3"/>
      <c r="I863" s="3"/>
      <c r="J863" s="3"/>
      <c r="K863" s="3"/>
      <c r="M863" s="10"/>
      <c r="N863" s="3"/>
      <c r="O863" s="3"/>
      <c r="P863" s="3"/>
    </row>
    <row r="864" spans="4:16" x14ac:dyDescent="0.25">
      <c r="D864" s="2"/>
      <c r="F864" s="3"/>
      <c r="G864" s="3"/>
      <c r="H864" s="3"/>
      <c r="I864" s="3"/>
      <c r="J864" s="3"/>
      <c r="K864" s="3"/>
      <c r="M864" s="10"/>
      <c r="N864" s="3"/>
      <c r="O864" s="3"/>
      <c r="P864" s="3"/>
    </row>
    <row r="865" spans="4:16" x14ac:dyDescent="0.25">
      <c r="D865" s="2"/>
      <c r="F865" s="3"/>
      <c r="G865" s="3"/>
      <c r="H865" s="3"/>
      <c r="I865" s="3"/>
      <c r="J865" s="3"/>
      <c r="K865" s="3"/>
      <c r="M865" s="10"/>
      <c r="N865" s="3"/>
      <c r="O865" s="3"/>
      <c r="P865" s="3"/>
    </row>
    <row r="866" spans="4:16" x14ac:dyDescent="0.25">
      <c r="D866" s="2"/>
      <c r="F866" s="3"/>
      <c r="G866" s="3"/>
      <c r="H866" s="3"/>
      <c r="I866" s="3"/>
      <c r="J866" s="3"/>
      <c r="K866" s="3"/>
      <c r="M866" s="10"/>
      <c r="N866" s="3"/>
      <c r="O866" s="3"/>
      <c r="P866" s="3"/>
    </row>
    <row r="867" spans="4:16" x14ac:dyDescent="0.25">
      <c r="D867" s="2"/>
      <c r="F867" s="3"/>
      <c r="G867" s="3"/>
      <c r="H867" s="3"/>
      <c r="I867" s="3"/>
      <c r="J867" s="3"/>
      <c r="K867" s="3"/>
      <c r="M867" s="10"/>
      <c r="N867" s="3"/>
      <c r="O867" s="3"/>
      <c r="P867" s="3"/>
    </row>
    <row r="868" spans="4:16" x14ac:dyDescent="0.25">
      <c r="D868" s="2"/>
      <c r="F868" s="3"/>
      <c r="G868" s="3"/>
      <c r="H868" s="3"/>
      <c r="I868" s="3"/>
      <c r="J868" s="3"/>
      <c r="K868" s="3"/>
      <c r="M868" s="10"/>
      <c r="N868" s="3"/>
      <c r="O868" s="3"/>
      <c r="P868" s="3"/>
    </row>
    <row r="869" spans="4:16" x14ac:dyDescent="0.25">
      <c r="D869" s="2"/>
      <c r="F869" s="3"/>
      <c r="G869" s="3"/>
      <c r="H869" s="3"/>
      <c r="I869" s="3"/>
      <c r="J869" s="3"/>
      <c r="K869" s="3"/>
      <c r="M869" s="10"/>
      <c r="N869" s="3"/>
      <c r="O869" s="3"/>
      <c r="P869" s="3"/>
    </row>
    <row r="870" spans="4:16" x14ac:dyDescent="0.25">
      <c r="D870" s="2"/>
      <c r="F870" s="3"/>
      <c r="G870" s="3"/>
      <c r="H870" s="3"/>
      <c r="I870" s="3"/>
      <c r="J870" s="3"/>
      <c r="K870" s="3"/>
      <c r="M870" s="10"/>
      <c r="N870" s="3"/>
      <c r="O870" s="3"/>
      <c r="P870" s="3"/>
    </row>
    <row r="871" spans="4:16" x14ac:dyDescent="0.25">
      <c r="D871" s="2"/>
      <c r="F871" s="3"/>
      <c r="G871" s="3"/>
      <c r="H871" s="3"/>
      <c r="I871" s="3"/>
      <c r="J871" s="3"/>
      <c r="K871" s="3"/>
      <c r="M871" s="10"/>
      <c r="N871" s="3"/>
      <c r="O871" s="3"/>
      <c r="P871" s="3"/>
    </row>
    <row r="872" spans="4:16" x14ac:dyDescent="0.25">
      <c r="D872" s="2"/>
      <c r="F872" s="3"/>
      <c r="G872" s="3"/>
      <c r="H872" s="3"/>
      <c r="I872" s="3"/>
      <c r="J872" s="3"/>
      <c r="K872" s="3"/>
      <c r="M872" s="10"/>
      <c r="N872" s="3"/>
      <c r="O872" s="3"/>
      <c r="P872" s="3"/>
    </row>
    <row r="873" spans="4:16" x14ac:dyDescent="0.25">
      <c r="D873" s="2"/>
      <c r="F873" s="3"/>
      <c r="G873" s="3"/>
      <c r="H873" s="3"/>
      <c r="I873" s="3"/>
      <c r="J873" s="3"/>
      <c r="K873" s="3"/>
      <c r="M873" s="10"/>
      <c r="N873" s="3"/>
      <c r="O873" s="3"/>
      <c r="P873" s="3"/>
    </row>
    <row r="874" spans="4:16" x14ac:dyDescent="0.25">
      <c r="D874" s="2"/>
      <c r="F874" s="3"/>
      <c r="G874" s="3"/>
      <c r="H874" s="3"/>
      <c r="I874" s="3"/>
      <c r="J874" s="3"/>
      <c r="K874" s="3"/>
      <c r="M874" s="10"/>
      <c r="N874" s="3"/>
      <c r="O874" s="3"/>
      <c r="P874" s="3"/>
    </row>
    <row r="875" spans="4:16" x14ac:dyDescent="0.25">
      <c r="D875" s="2"/>
      <c r="F875" s="3"/>
      <c r="G875" s="3"/>
      <c r="H875" s="3"/>
      <c r="I875" s="3"/>
      <c r="J875" s="3"/>
      <c r="K875" s="3"/>
      <c r="M875" s="10"/>
      <c r="N875" s="3"/>
      <c r="O875" s="3"/>
      <c r="P875" s="3"/>
    </row>
    <row r="876" spans="4:16" x14ac:dyDescent="0.25">
      <c r="D876" s="2"/>
      <c r="F876" s="3"/>
      <c r="G876" s="3"/>
      <c r="H876" s="3"/>
      <c r="I876" s="3"/>
      <c r="J876" s="3"/>
      <c r="K876" s="3"/>
      <c r="M876" s="10"/>
      <c r="N876" s="3"/>
      <c r="O876" s="3"/>
      <c r="P876" s="3"/>
    </row>
    <row r="877" spans="4:16" x14ac:dyDescent="0.25">
      <c r="D877" s="2"/>
      <c r="F877" s="3"/>
      <c r="G877" s="3"/>
      <c r="H877" s="3"/>
      <c r="I877" s="3"/>
      <c r="J877" s="3"/>
      <c r="K877" s="3"/>
      <c r="M877" s="10"/>
      <c r="N877" s="3"/>
      <c r="O877" s="3"/>
      <c r="P877" s="3"/>
    </row>
    <row r="878" spans="4:16" x14ac:dyDescent="0.25">
      <c r="D878" s="2"/>
      <c r="F878" s="3"/>
      <c r="G878" s="3"/>
      <c r="H878" s="3"/>
      <c r="I878" s="3"/>
      <c r="J878" s="3"/>
      <c r="K878" s="3"/>
      <c r="M878" s="10"/>
      <c r="N878" s="3"/>
      <c r="O878" s="3"/>
      <c r="P878" s="3"/>
    </row>
    <row r="879" spans="4:16" x14ac:dyDescent="0.25">
      <c r="D879" s="2"/>
      <c r="F879" s="3"/>
      <c r="G879" s="3"/>
      <c r="H879" s="3"/>
      <c r="I879" s="3"/>
      <c r="J879" s="3"/>
      <c r="K879" s="3"/>
      <c r="M879" s="10"/>
      <c r="N879" s="3"/>
      <c r="O879" s="3"/>
      <c r="P879" s="3"/>
    </row>
    <row r="880" spans="4:16" x14ac:dyDescent="0.25">
      <c r="D880" s="2"/>
      <c r="F880" s="3"/>
      <c r="G880" s="3"/>
      <c r="H880" s="3"/>
      <c r="I880" s="3"/>
      <c r="J880" s="3"/>
      <c r="K880" s="3"/>
      <c r="M880" s="10"/>
      <c r="N880" s="3"/>
      <c r="O880" s="3"/>
      <c r="P880" s="3"/>
    </row>
    <row r="881" spans="4:16" x14ac:dyDescent="0.25">
      <c r="D881" s="2"/>
      <c r="F881" s="3"/>
      <c r="G881" s="3"/>
      <c r="H881" s="3"/>
      <c r="I881" s="3"/>
      <c r="J881" s="3"/>
      <c r="K881" s="3"/>
      <c r="M881" s="10"/>
      <c r="N881" s="3"/>
      <c r="O881" s="3"/>
      <c r="P881" s="3"/>
    </row>
    <row r="882" spans="4:16" x14ac:dyDescent="0.25">
      <c r="D882" s="2"/>
      <c r="F882" s="3"/>
      <c r="G882" s="3"/>
      <c r="H882" s="3"/>
      <c r="I882" s="3"/>
      <c r="J882" s="3"/>
      <c r="K882" s="3"/>
      <c r="M882" s="10"/>
      <c r="N882" s="3"/>
      <c r="O882" s="3"/>
      <c r="P882" s="3"/>
    </row>
    <row r="883" spans="4:16" x14ac:dyDescent="0.25">
      <c r="D883" s="2"/>
      <c r="F883" s="3"/>
      <c r="G883" s="3"/>
      <c r="H883" s="3"/>
      <c r="I883" s="3"/>
      <c r="J883" s="3"/>
      <c r="K883" s="3"/>
      <c r="M883" s="10"/>
      <c r="N883" s="3"/>
      <c r="O883" s="3"/>
      <c r="P883" s="3"/>
    </row>
    <row r="884" spans="4:16" x14ac:dyDescent="0.25">
      <c r="D884" s="2"/>
      <c r="F884" s="3"/>
      <c r="G884" s="3"/>
      <c r="H884" s="3"/>
      <c r="I884" s="3"/>
      <c r="J884" s="3"/>
      <c r="K884" s="3"/>
      <c r="M884" s="10"/>
      <c r="N884" s="3"/>
      <c r="O884" s="3"/>
      <c r="P884" s="3"/>
    </row>
    <row r="885" spans="4:16" x14ac:dyDescent="0.25">
      <c r="D885" s="2"/>
      <c r="F885" s="3"/>
      <c r="G885" s="3"/>
      <c r="H885" s="3"/>
      <c r="I885" s="3"/>
      <c r="J885" s="3"/>
      <c r="K885" s="3"/>
      <c r="M885" s="10"/>
      <c r="N885" s="3"/>
      <c r="O885" s="3"/>
      <c r="P885" s="3"/>
    </row>
    <row r="886" spans="4:16" x14ac:dyDescent="0.25">
      <c r="D886" s="2"/>
      <c r="F886" s="3"/>
      <c r="G886" s="3"/>
      <c r="H886" s="3"/>
      <c r="I886" s="3"/>
      <c r="J886" s="3"/>
      <c r="K886" s="3"/>
      <c r="M886" s="10"/>
      <c r="N886" s="3"/>
      <c r="O886" s="3"/>
      <c r="P886" s="3"/>
    </row>
    <row r="887" spans="4:16" x14ac:dyDescent="0.25">
      <c r="D887" s="2"/>
      <c r="F887" s="3"/>
      <c r="G887" s="3"/>
      <c r="H887" s="3"/>
      <c r="I887" s="3"/>
      <c r="J887" s="3"/>
      <c r="K887" s="3"/>
      <c r="M887" s="10"/>
      <c r="N887" s="3"/>
      <c r="O887" s="3"/>
      <c r="P887" s="3"/>
    </row>
    <row r="888" spans="4:16" x14ac:dyDescent="0.25">
      <c r="D888" s="2"/>
      <c r="F888" s="3"/>
      <c r="G888" s="3"/>
      <c r="H888" s="3"/>
      <c r="I888" s="3"/>
      <c r="J888" s="3"/>
      <c r="K888" s="3"/>
      <c r="M888" s="10"/>
      <c r="N888" s="3"/>
      <c r="O888" s="3"/>
      <c r="P888" s="3"/>
    </row>
    <row r="889" spans="4:16" x14ac:dyDescent="0.25">
      <c r="D889" s="2"/>
      <c r="F889" s="3"/>
      <c r="G889" s="3"/>
      <c r="H889" s="3"/>
      <c r="I889" s="3"/>
      <c r="J889" s="3"/>
      <c r="K889" s="3"/>
      <c r="M889" s="10"/>
      <c r="N889" s="3"/>
      <c r="O889" s="3"/>
      <c r="P889" s="3"/>
    </row>
    <row r="890" spans="4:16" x14ac:dyDescent="0.25">
      <c r="D890" s="2"/>
      <c r="F890" s="3"/>
      <c r="G890" s="3"/>
      <c r="H890" s="3"/>
      <c r="I890" s="3"/>
      <c r="J890" s="3"/>
      <c r="K890" s="3"/>
      <c r="M890" s="10"/>
      <c r="N890" s="3"/>
      <c r="O890" s="3"/>
      <c r="P890" s="3"/>
    </row>
    <row r="891" spans="4:16" x14ac:dyDescent="0.25">
      <c r="D891" s="2"/>
      <c r="F891" s="3"/>
      <c r="G891" s="3"/>
      <c r="H891" s="3"/>
      <c r="I891" s="3"/>
      <c r="J891" s="3"/>
      <c r="K891" s="3"/>
      <c r="M891" s="10"/>
      <c r="N891" s="3"/>
      <c r="O891" s="3"/>
      <c r="P891" s="3"/>
    </row>
    <row r="892" spans="4:16" x14ac:dyDescent="0.25">
      <c r="D892" s="2"/>
      <c r="F892" s="3"/>
      <c r="G892" s="3"/>
      <c r="H892" s="3"/>
      <c r="I892" s="3"/>
      <c r="J892" s="3"/>
      <c r="K892" s="3"/>
      <c r="M892" s="10"/>
      <c r="N892" s="3"/>
      <c r="O892" s="3"/>
      <c r="P892" s="3"/>
    </row>
    <row r="893" spans="4:16" x14ac:dyDescent="0.25">
      <c r="D893" s="2"/>
      <c r="F893" s="3"/>
      <c r="G893" s="3"/>
      <c r="H893" s="3"/>
      <c r="I893" s="3"/>
      <c r="J893" s="3"/>
      <c r="K893" s="3"/>
      <c r="M893" s="10"/>
      <c r="N893" s="3"/>
      <c r="O893" s="3"/>
      <c r="P893" s="3"/>
    </row>
    <row r="894" spans="4:16" x14ac:dyDescent="0.25">
      <c r="D894" s="2"/>
      <c r="F894" s="3"/>
      <c r="G894" s="3"/>
      <c r="H894" s="3"/>
      <c r="I894" s="3"/>
      <c r="J894" s="3"/>
      <c r="K894" s="3"/>
      <c r="M894" s="10"/>
      <c r="N894" s="3"/>
      <c r="O894" s="3"/>
      <c r="P894" s="3"/>
    </row>
    <row r="895" spans="4:16" x14ac:dyDescent="0.25">
      <c r="D895" s="2"/>
      <c r="F895" s="3"/>
      <c r="G895" s="3"/>
      <c r="H895" s="3"/>
      <c r="I895" s="3"/>
      <c r="J895" s="3"/>
      <c r="K895" s="3"/>
      <c r="M895" s="10"/>
      <c r="N895" s="3"/>
      <c r="O895" s="3"/>
      <c r="P895" s="3"/>
    </row>
    <row r="896" spans="4:16" x14ac:dyDescent="0.25">
      <c r="D896" s="2"/>
      <c r="F896" s="3"/>
      <c r="G896" s="3"/>
      <c r="H896" s="3"/>
      <c r="I896" s="3"/>
      <c r="J896" s="3"/>
      <c r="K896" s="3"/>
      <c r="M896" s="10"/>
      <c r="N896" s="3"/>
      <c r="O896" s="3"/>
      <c r="P896" s="3"/>
    </row>
    <row r="897" spans="4:16" x14ac:dyDescent="0.25">
      <c r="D897" s="2"/>
      <c r="F897" s="3"/>
      <c r="G897" s="3"/>
      <c r="H897" s="3"/>
      <c r="I897" s="3"/>
      <c r="J897" s="3"/>
      <c r="K897" s="3"/>
      <c r="M897" s="10"/>
      <c r="N897" s="3"/>
      <c r="O897" s="3"/>
      <c r="P897" s="3"/>
    </row>
    <row r="898" spans="4:16" x14ac:dyDescent="0.25">
      <c r="D898" s="2"/>
      <c r="F898" s="3"/>
      <c r="G898" s="3"/>
      <c r="H898" s="3"/>
      <c r="I898" s="3"/>
      <c r="J898" s="3"/>
      <c r="K898" s="3"/>
      <c r="M898" s="10"/>
      <c r="N898" s="3"/>
      <c r="O898" s="3"/>
      <c r="P898" s="3"/>
    </row>
    <row r="899" spans="4:16" x14ac:dyDescent="0.25">
      <c r="D899" s="2"/>
      <c r="F899" s="3"/>
      <c r="G899" s="3"/>
      <c r="H899" s="3"/>
      <c r="I899" s="3"/>
      <c r="J899" s="3"/>
      <c r="K899" s="3"/>
      <c r="M899" s="10"/>
      <c r="N899" s="3"/>
      <c r="O899" s="3"/>
      <c r="P899" s="3"/>
    </row>
    <row r="900" spans="4:16" x14ac:dyDescent="0.25">
      <c r="D900" s="2"/>
      <c r="F900" s="3"/>
      <c r="G900" s="3"/>
      <c r="H900" s="3"/>
      <c r="I900" s="3"/>
      <c r="J900" s="3"/>
      <c r="K900" s="3"/>
      <c r="M900" s="10"/>
      <c r="N900" s="3"/>
      <c r="O900" s="3"/>
      <c r="P900" s="3"/>
    </row>
    <row r="901" spans="4:16" x14ac:dyDescent="0.25">
      <c r="D901" s="2"/>
      <c r="F901" s="3"/>
      <c r="G901" s="3"/>
      <c r="H901" s="3"/>
      <c r="I901" s="3"/>
      <c r="J901" s="3"/>
      <c r="K901" s="3"/>
      <c r="M901" s="10"/>
      <c r="N901" s="3"/>
      <c r="O901" s="3"/>
      <c r="P901" s="3"/>
    </row>
    <row r="902" spans="4:16" x14ac:dyDescent="0.25">
      <c r="D902" s="2"/>
      <c r="F902" s="3"/>
      <c r="G902" s="3"/>
      <c r="H902" s="3"/>
      <c r="I902" s="3"/>
      <c r="J902" s="3"/>
      <c r="K902" s="3"/>
      <c r="M902" s="10"/>
      <c r="N902" s="3"/>
      <c r="O902" s="3"/>
      <c r="P902" s="3"/>
    </row>
    <row r="903" spans="4:16" x14ac:dyDescent="0.25">
      <c r="D903" s="2"/>
      <c r="F903" s="3"/>
      <c r="G903" s="3"/>
      <c r="H903" s="3"/>
      <c r="I903" s="3"/>
      <c r="J903" s="3"/>
      <c r="K903" s="3"/>
      <c r="M903" s="10"/>
      <c r="N903" s="3"/>
      <c r="O903" s="3"/>
      <c r="P903" s="3"/>
    </row>
    <row r="904" spans="4:16" x14ac:dyDescent="0.25">
      <c r="D904" s="2"/>
      <c r="F904" s="3"/>
      <c r="G904" s="3"/>
      <c r="H904" s="3"/>
      <c r="I904" s="3"/>
      <c r="J904" s="3"/>
      <c r="K904" s="3"/>
      <c r="M904" s="10"/>
      <c r="N904" s="3"/>
      <c r="O904" s="3"/>
      <c r="P904" s="3"/>
    </row>
    <row r="905" spans="4:16" x14ac:dyDescent="0.25">
      <c r="D905" s="2"/>
      <c r="F905" s="3"/>
      <c r="G905" s="3"/>
      <c r="H905" s="3"/>
      <c r="I905" s="3"/>
      <c r="J905" s="3"/>
      <c r="K905" s="3"/>
      <c r="M905" s="10"/>
      <c r="N905" s="3"/>
      <c r="O905" s="3"/>
      <c r="P905" s="3"/>
    </row>
    <row r="906" spans="4:16" x14ac:dyDescent="0.25">
      <c r="D906" s="2"/>
      <c r="F906" s="3"/>
      <c r="G906" s="3"/>
      <c r="H906" s="3"/>
      <c r="I906" s="3"/>
      <c r="J906" s="3"/>
      <c r="K906" s="3"/>
      <c r="M906" s="10"/>
      <c r="N906" s="3"/>
      <c r="O906" s="3"/>
      <c r="P906" s="3"/>
    </row>
    <row r="907" spans="4:16" x14ac:dyDescent="0.25">
      <c r="D907" s="2"/>
      <c r="F907" s="3"/>
      <c r="G907" s="3"/>
      <c r="H907" s="3"/>
      <c r="I907" s="3"/>
      <c r="J907" s="3"/>
      <c r="K907" s="3"/>
      <c r="M907" s="10"/>
      <c r="N907" s="3"/>
      <c r="O907" s="3"/>
      <c r="P907" s="3"/>
    </row>
    <row r="908" spans="4:16" x14ac:dyDescent="0.25">
      <c r="D908" s="2"/>
      <c r="F908" s="3"/>
      <c r="G908" s="3"/>
      <c r="H908" s="3"/>
      <c r="I908" s="3"/>
      <c r="J908" s="3"/>
      <c r="K908" s="3"/>
      <c r="M908" s="10"/>
      <c r="N908" s="3"/>
      <c r="O908" s="3"/>
      <c r="P908" s="3"/>
    </row>
    <row r="909" spans="4:16" x14ac:dyDescent="0.25">
      <c r="D909" s="2"/>
      <c r="F909" s="3"/>
      <c r="G909" s="3"/>
      <c r="H909" s="3"/>
      <c r="I909" s="3"/>
      <c r="J909" s="3"/>
      <c r="K909" s="3"/>
      <c r="M909" s="10"/>
      <c r="N909" s="3"/>
      <c r="O909" s="3"/>
      <c r="P909" s="3"/>
    </row>
    <row r="910" spans="4:16" x14ac:dyDescent="0.25">
      <c r="D910" s="2"/>
      <c r="F910" s="3"/>
      <c r="G910" s="3"/>
      <c r="H910" s="3"/>
      <c r="I910" s="3"/>
      <c r="J910" s="3"/>
      <c r="K910" s="3"/>
      <c r="M910" s="10"/>
      <c r="N910" s="3"/>
      <c r="O910" s="3"/>
      <c r="P910" s="3"/>
    </row>
    <row r="911" spans="4:16" x14ac:dyDescent="0.25">
      <c r="D911" s="2"/>
      <c r="F911" s="3"/>
      <c r="G911" s="3"/>
      <c r="H911" s="3"/>
      <c r="I911" s="3"/>
      <c r="J911" s="3"/>
      <c r="K911" s="3"/>
      <c r="M911" s="10"/>
      <c r="N911" s="3"/>
      <c r="O911" s="3"/>
      <c r="P911" s="3"/>
    </row>
    <row r="912" spans="4:16" x14ac:dyDescent="0.25">
      <c r="D912" s="2"/>
      <c r="F912" s="3"/>
      <c r="G912" s="3"/>
      <c r="H912" s="3"/>
      <c r="I912" s="3"/>
      <c r="J912" s="3"/>
      <c r="K912" s="3"/>
      <c r="M912" s="10"/>
      <c r="N912" s="3"/>
      <c r="O912" s="3"/>
      <c r="P912" s="3"/>
    </row>
    <row r="913" spans="4:16" x14ac:dyDescent="0.25">
      <c r="D913" s="2"/>
      <c r="F913" s="3"/>
      <c r="G913" s="3"/>
      <c r="H913" s="3"/>
      <c r="I913" s="3"/>
      <c r="J913" s="3"/>
      <c r="K913" s="3"/>
      <c r="M913" s="10"/>
      <c r="N913" s="3"/>
      <c r="O913" s="3"/>
      <c r="P913" s="3"/>
    </row>
    <row r="914" spans="4:16" x14ac:dyDescent="0.25">
      <c r="D914" s="2"/>
      <c r="F914" s="3"/>
      <c r="G914" s="3"/>
      <c r="H914" s="3"/>
      <c r="I914" s="3"/>
      <c r="J914" s="3"/>
      <c r="K914" s="3"/>
      <c r="M914" s="10"/>
      <c r="N914" s="3"/>
      <c r="O914" s="3"/>
      <c r="P914" s="3"/>
    </row>
    <row r="915" spans="4:16" x14ac:dyDescent="0.25">
      <c r="D915" s="2"/>
      <c r="F915" s="3"/>
      <c r="G915" s="3"/>
      <c r="H915" s="3"/>
      <c r="I915" s="3"/>
      <c r="J915" s="3"/>
      <c r="K915" s="3"/>
      <c r="M915" s="10"/>
      <c r="N915" s="3"/>
      <c r="O915" s="3"/>
      <c r="P915" s="3"/>
    </row>
    <row r="916" spans="4:16" x14ac:dyDescent="0.25">
      <c r="D916" s="2"/>
      <c r="F916" s="3"/>
      <c r="G916" s="3"/>
      <c r="H916" s="3"/>
      <c r="I916" s="3"/>
      <c r="J916" s="3"/>
      <c r="K916" s="3"/>
      <c r="M916" s="10"/>
      <c r="N916" s="3"/>
      <c r="O916" s="3"/>
      <c r="P916" s="3"/>
    </row>
    <row r="917" spans="4:16" x14ac:dyDescent="0.25">
      <c r="D917" s="2"/>
      <c r="F917" s="3"/>
      <c r="G917" s="3"/>
      <c r="H917" s="3"/>
      <c r="I917" s="3"/>
      <c r="J917" s="3"/>
      <c r="K917" s="3"/>
      <c r="M917" s="10"/>
      <c r="N917" s="3"/>
      <c r="O917" s="3"/>
      <c r="P917" s="3"/>
    </row>
    <row r="918" spans="4:16" x14ac:dyDescent="0.25">
      <c r="D918" s="2"/>
      <c r="F918" s="3"/>
      <c r="G918" s="3"/>
      <c r="H918" s="3"/>
      <c r="I918" s="3"/>
      <c r="J918" s="3"/>
      <c r="K918" s="3"/>
      <c r="M918" s="10"/>
      <c r="N918" s="3"/>
      <c r="O918" s="3"/>
      <c r="P918" s="3"/>
    </row>
    <row r="919" spans="4:16" x14ac:dyDescent="0.25">
      <c r="D919" s="2"/>
      <c r="F919" s="3"/>
      <c r="G919" s="3"/>
      <c r="H919" s="3"/>
      <c r="I919" s="3"/>
      <c r="J919" s="3"/>
      <c r="K919" s="3"/>
      <c r="M919" s="10"/>
      <c r="N919" s="3"/>
      <c r="O919" s="3"/>
      <c r="P919" s="3"/>
    </row>
    <row r="920" spans="4:16" x14ac:dyDescent="0.25">
      <c r="D920" s="2"/>
      <c r="F920" s="3"/>
      <c r="G920" s="3"/>
      <c r="H920" s="3"/>
      <c r="I920" s="3"/>
      <c r="J920" s="3"/>
      <c r="K920" s="3"/>
      <c r="M920" s="10"/>
      <c r="N920" s="3"/>
      <c r="O920" s="3"/>
      <c r="P920" s="3"/>
    </row>
    <row r="921" spans="4:16" x14ac:dyDescent="0.25">
      <c r="D921" s="2"/>
      <c r="F921" s="3"/>
      <c r="G921" s="3"/>
      <c r="H921" s="3"/>
      <c r="I921" s="3"/>
      <c r="J921" s="3"/>
      <c r="K921" s="3"/>
      <c r="M921" s="10"/>
      <c r="N921" s="3"/>
      <c r="O921" s="3"/>
      <c r="P921" s="3"/>
    </row>
    <row r="922" spans="4:16" x14ac:dyDescent="0.25">
      <c r="D922" s="2"/>
      <c r="F922" s="3"/>
      <c r="G922" s="3"/>
      <c r="H922" s="3"/>
      <c r="I922" s="3"/>
      <c r="J922" s="3"/>
      <c r="K922" s="3"/>
      <c r="M922" s="10"/>
      <c r="N922" s="3"/>
      <c r="O922" s="3"/>
      <c r="P922" s="3"/>
    </row>
    <row r="923" spans="4:16" x14ac:dyDescent="0.25">
      <c r="D923" s="2"/>
      <c r="F923" s="3"/>
      <c r="G923" s="3"/>
      <c r="H923" s="3"/>
      <c r="I923" s="3"/>
      <c r="J923" s="3"/>
      <c r="K923" s="3"/>
      <c r="M923" s="10"/>
      <c r="N923" s="3"/>
      <c r="O923" s="3"/>
      <c r="P923" s="3"/>
    </row>
    <row r="924" spans="4:16" x14ac:dyDescent="0.25">
      <c r="D924" s="2"/>
      <c r="F924" s="3"/>
      <c r="G924" s="3"/>
      <c r="H924" s="3"/>
      <c r="I924" s="3"/>
      <c r="J924" s="3"/>
      <c r="K924" s="3"/>
      <c r="M924" s="10"/>
      <c r="N924" s="3"/>
      <c r="O924" s="3"/>
      <c r="P924" s="3"/>
    </row>
    <row r="925" spans="4:16" x14ac:dyDescent="0.25">
      <c r="D925" s="2"/>
      <c r="F925" s="3"/>
      <c r="G925" s="3"/>
      <c r="H925" s="3"/>
      <c r="I925" s="3"/>
      <c r="J925" s="3"/>
      <c r="K925" s="3"/>
      <c r="M925" s="10"/>
      <c r="N925" s="3"/>
      <c r="O925" s="3"/>
      <c r="P925" s="3"/>
    </row>
    <row r="926" spans="4:16" x14ac:dyDescent="0.25">
      <c r="D926" s="2"/>
      <c r="F926" s="3"/>
      <c r="G926" s="3"/>
      <c r="H926" s="3"/>
      <c r="I926" s="3"/>
      <c r="J926" s="3"/>
      <c r="K926" s="3"/>
      <c r="M926" s="10"/>
      <c r="N926" s="3"/>
      <c r="O926" s="3"/>
      <c r="P926" s="3"/>
    </row>
    <row r="927" spans="4:16" x14ac:dyDescent="0.25">
      <c r="D927" s="2"/>
      <c r="F927" s="3"/>
      <c r="G927" s="3"/>
      <c r="H927" s="3"/>
      <c r="I927" s="3"/>
      <c r="J927" s="3"/>
      <c r="K927" s="3"/>
      <c r="M927" s="10"/>
      <c r="N927" s="3"/>
      <c r="O927" s="3"/>
      <c r="P927" s="3"/>
    </row>
    <row r="928" spans="4:16" x14ac:dyDescent="0.25">
      <c r="D928" s="2"/>
      <c r="F928" s="3"/>
      <c r="G928" s="3"/>
      <c r="H928" s="3"/>
      <c r="I928" s="3"/>
      <c r="J928" s="3"/>
      <c r="K928" s="3"/>
      <c r="M928" s="10"/>
      <c r="N928" s="3"/>
      <c r="O928" s="3"/>
      <c r="P928" s="3"/>
    </row>
    <row r="929" spans="4:16" x14ac:dyDescent="0.25">
      <c r="D929" s="2"/>
      <c r="F929" s="3"/>
      <c r="G929" s="3"/>
      <c r="H929" s="3"/>
      <c r="I929" s="3"/>
      <c r="J929" s="3"/>
      <c r="K929" s="3"/>
      <c r="M929" s="10"/>
      <c r="N929" s="3"/>
      <c r="O929" s="3"/>
      <c r="P929" s="3"/>
    </row>
    <row r="930" spans="4:16" x14ac:dyDescent="0.25">
      <c r="D930" s="2"/>
      <c r="F930" s="3"/>
      <c r="G930" s="3"/>
      <c r="H930" s="3"/>
      <c r="I930" s="3"/>
      <c r="J930" s="3"/>
      <c r="K930" s="3"/>
      <c r="M930" s="10"/>
      <c r="N930" s="3"/>
      <c r="O930" s="3"/>
      <c r="P930" s="3"/>
    </row>
    <row r="931" spans="4:16" x14ac:dyDescent="0.25">
      <c r="D931" s="2"/>
      <c r="F931" s="3"/>
      <c r="G931" s="3"/>
      <c r="H931" s="3"/>
      <c r="I931" s="3"/>
      <c r="J931" s="3"/>
      <c r="K931" s="3"/>
      <c r="M931" s="10"/>
      <c r="N931" s="3"/>
      <c r="O931" s="3"/>
      <c r="P931" s="3"/>
    </row>
    <row r="932" spans="4:16" x14ac:dyDescent="0.25">
      <c r="D932" s="2"/>
      <c r="F932" s="3"/>
      <c r="G932" s="3"/>
      <c r="H932" s="3"/>
      <c r="I932" s="3"/>
      <c r="J932" s="3"/>
      <c r="K932" s="3"/>
      <c r="M932" s="10"/>
      <c r="N932" s="3"/>
      <c r="O932" s="3"/>
      <c r="P932" s="3"/>
    </row>
    <row r="933" spans="4:16" x14ac:dyDescent="0.25">
      <c r="D933" s="2"/>
      <c r="F933" s="3"/>
      <c r="G933" s="3"/>
      <c r="H933" s="3"/>
      <c r="I933" s="3"/>
      <c r="J933" s="3"/>
      <c r="K933" s="3"/>
      <c r="M933" s="10"/>
      <c r="N933" s="3"/>
      <c r="O933" s="3"/>
      <c r="P933" s="3"/>
    </row>
    <row r="934" spans="4:16" x14ac:dyDescent="0.25">
      <c r="D934" s="2"/>
      <c r="F934" s="3"/>
      <c r="G934" s="3"/>
      <c r="H934" s="3"/>
      <c r="I934" s="3"/>
      <c r="J934" s="3"/>
      <c r="K934" s="3"/>
      <c r="M934" s="10"/>
      <c r="N934" s="3"/>
      <c r="O934" s="3"/>
      <c r="P934" s="3"/>
    </row>
    <row r="935" spans="4:16" x14ac:dyDescent="0.25">
      <c r="D935" s="2"/>
      <c r="F935" s="3"/>
      <c r="G935" s="3"/>
      <c r="H935" s="3"/>
      <c r="I935" s="3"/>
      <c r="J935" s="3"/>
      <c r="K935" s="3"/>
      <c r="M935" s="10"/>
      <c r="N935" s="3"/>
      <c r="O935" s="3"/>
      <c r="P935" s="3"/>
    </row>
    <row r="936" spans="4:16" x14ac:dyDescent="0.25">
      <c r="D936" s="2"/>
      <c r="F936" s="3"/>
      <c r="G936" s="3"/>
      <c r="H936" s="3"/>
      <c r="I936" s="3"/>
      <c r="J936" s="3"/>
      <c r="K936" s="3"/>
      <c r="M936" s="10"/>
      <c r="N936" s="3"/>
      <c r="O936" s="3"/>
      <c r="P936" s="3"/>
    </row>
    <row r="937" spans="4:16" x14ac:dyDescent="0.25">
      <c r="D937" s="2"/>
      <c r="F937" s="3"/>
      <c r="G937" s="3"/>
      <c r="H937" s="3"/>
      <c r="I937" s="3"/>
      <c r="J937" s="3"/>
      <c r="K937" s="3"/>
      <c r="M937" s="10"/>
      <c r="N937" s="3"/>
      <c r="O937" s="3"/>
      <c r="P937" s="3"/>
    </row>
    <row r="938" spans="4:16" x14ac:dyDescent="0.25">
      <c r="D938" s="2"/>
      <c r="F938" s="3"/>
      <c r="G938" s="3"/>
      <c r="H938" s="3"/>
      <c r="I938" s="3"/>
      <c r="J938" s="3"/>
      <c r="K938" s="3"/>
      <c r="M938" s="10"/>
      <c r="N938" s="3"/>
      <c r="O938" s="3"/>
      <c r="P938" s="3"/>
    </row>
    <row r="939" spans="4:16" x14ac:dyDescent="0.25">
      <c r="D939" s="2"/>
      <c r="F939" s="3"/>
      <c r="G939" s="3"/>
      <c r="H939" s="3"/>
      <c r="I939" s="3"/>
      <c r="J939" s="3"/>
      <c r="K939" s="3"/>
      <c r="M939" s="10"/>
      <c r="N939" s="3"/>
      <c r="O939" s="3"/>
      <c r="P939" s="3"/>
    </row>
    <row r="940" spans="4:16" x14ac:dyDescent="0.25">
      <c r="D940" s="2"/>
      <c r="F940" s="3"/>
      <c r="G940" s="3"/>
      <c r="H940" s="3"/>
      <c r="I940" s="3"/>
      <c r="J940" s="3"/>
      <c r="K940" s="3"/>
      <c r="M940" s="10"/>
      <c r="N940" s="3"/>
      <c r="O940" s="3"/>
      <c r="P940" s="3"/>
    </row>
    <row r="941" spans="4:16" x14ac:dyDescent="0.25">
      <c r="D941" s="2"/>
      <c r="F941" s="3"/>
      <c r="G941" s="3"/>
      <c r="H941" s="3"/>
      <c r="I941" s="3"/>
      <c r="J941" s="3"/>
      <c r="K941" s="3"/>
      <c r="M941" s="10"/>
      <c r="N941" s="3"/>
      <c r="O941" s="3"/>
      <c r="P941" s="3"/>
    </row>
    <row r="942" spans="4:16" x14ac:dyDescent="0.25">
      <c r="D942" s="2"/>
      <c r="F942" s="3"/>
      <c r="G942" s="3"/>
      <c r="H942" s="3"/>
      <c r="I942" s="3"/>
      <c r="J942" s="3"/>
      <c r="K942" s="3"/>
      <c r="M942" s="10"/>
      <c r="N942" s="3"/>
      <c r="O942" s="3"/>
      <c r="P942" s="3"/>
    </row>
    <row r="943" spans="4:16" x14ac:dyDescent="0.25">
      <c r="D943" s="2"/>
      <c r="F943" s="3"/>
      <c r="G943" s="3"/>
      <c r="H943" s="3"/>
      <c r="I943" s="3"/>
      <c r="J943" s="3"/>
      <c r="K943" s="3"/>
      <c r="M943" s="10"/>
      <c r="N943" s="3"/>
      <c r="O943" s="3"/>
      <c r="P943" s="3"/>
    </row>
    <row r="944" spans="4:16" x14ac:dyDescent="0.25">
      <c r="D944" s="2"/>
      <c r="F944" s="3"/>
      <c r="G944" s="3"/>
      <c r="H944" s="3"/>
      <c r="I944" s="3"/>
      <c r="J944" s="3"/>
      <c r="K944" s="3"/>
      <c r="M944" s="10"/>
      <c r="N944" s="3"/>
      <c r="O944" s="3"/>
      <c r="P944" s="3"/>
    </row>
    <row r="945" spans="4:16" x14ac:dyDescent="0.25">
      <c r="D945" s="2"/>
      <c r="F945" s="3"/>
      <c r="G945" s="3"/>
      <c r="H945" s="3"/>
      <c r="I945" s="3"/>
      <c r="J945" s="3"/>
      <c r="K945" s="3"/>
      <c r="M945" s="10"/>
      <c r="N945" s="3"/>
      <c r="O945" s="3"/>
      <c r="P945" s="3"/>
    </row>
    <row r="946" spans="4:16" x14ac:dyDescent="0.25">
      <c r="D946" s="2"/>
      <c r="F946" s="3"/>
      <c r="G946" s="3"/>
      <c r="H946" s="3"/>
      <c r="I946" s="3"/>
      <c r="J946" s="3"/>
      <c r="K946" s="3"/>
      <c r="M946" s="10"/>
      <c r="N946" s="3"/>
      <c r="O946" s="3"/>
      <c r="P946" s="3"/>
    </row>
    <row r="947" spans="4:16" x14ac:dyDescent="0.25">
      <c r="D947" s="2"/>
      <c r="F947" s="3"/>
      <c r="G947" s="3"/>
      <c r="H947" s="3"/>
      <c r="I947" s="3"/>
      <c r="J947" s="3"/>
      <c r="K947" s="3"/>
      <c r="M947" s="10"/>
      <c r="N947" s="3"/>
      <c r="O947" s="3"/>
      <c r="P947" s="3"/>
    </row>
    <row r="948" spans="4:16" x14ac:dyDescent="0.25">
      <c r="D948" s="2"/>
      <c r="F948" s="3"/>
      <c r="G948" s="3"/>
      <c r="H948" s="3"/>
      <c r="I948" s="3"/>
      <c r="J948" s="3"/>
      <c r="K948" s="3"/>
      <c r="M948" s="10"/>
      <c r="N948" s="3"/>
      <c r="O948" s="3"/>
      <c r="P948" s="3"/>
    </row>
    <row r="949" spans="4:16" x14ac:dyDescent="0.25">
      <c r="D949" s="2"/>
      <c r="F949" s="3"/>
      <c r="G949" s="3"/>
      <c r="H949" s="3"/>
      <c r="I949" s="3"/>
      <c r="J949" s="3"/>
      <c r="K949" s="3"/>
      <c r="M949" s="10"/>
      <c r="N949" s="3"/>
      <c r="O949" s="3"/>
      <c r="P949" s="3"/>
    </row>
    <row r="950" spans="4:16" x14ac:dyDescent="0.25">
      <c r="D950" s="2"/>
      <c r="F950" s="3"/>
      <c r="G950" s="3"/>
      <c r="H950" s="3"/>
      <c r="I950" s="3"/>
      <c r="J950" s="3"/>
      <c r="K950" s="3"/>
      <c r="M950" s="10"/>
      <c r="N950" s="3"/>
      <c r="O950" s="3"/>
      <c r="P950" s="3"/>
    </row>
    <row r="951" spans="4:16" x14ac:dyDescent="0.25">
      <c r="D951" s="2"/>
      <c r="F951" s="3"/>
      <c r="G951" s="3"/>
      <c r="H951" s="3"/>
      <c r="I951" s="3"/>
      <c r="J951" s="3"/>
      <c r="K951" s="3"/>
      <c r="M951" s="10"/>
      <c r="N951" s="3"/>
      <c r="O951" s="3"/>
      <c r="P951" s="3"/>
    </row>
    <row r="952" spans="4:16" x14ac:dyDescent="0.25">
      <c r="D952" s="2"/>
      <c r="F952" s="3"/>
      <c r="G952" s="3"/>
      <c r="H952" s="3"/>
      <c r="I952" s="3"/>
      <c r="J952" s="3"/>
      <c r="K952" s="3"/>
      <c r="M952" s="10"/>
      <c r="N952" s="3"/>
      <c r="O952" s="3"/>
      <c r="P952" s="3"/>
    </row>
    <row r="953" spans="4:16" x14ac:dyDescent="0.25">
      <c r="D953" s="2"/>
      <c r="F953" s="3"/>
      <c r="G953" s="3"/>
      <c r="H953" s="3"/>
      <c r="I953" s="3"/>
      <c r="J953" s="3"/>
      <c r="K953" s="3"/>
      <c r="M953" s="10"/>
      <c r="N953" s="3"/>
      <c r="O953" s="3"/>
      <c r="P953" s="3"/>
    </row>
    <row r="954" spans="4:16" x14ac:dyDescent="0.25">
      <c r="D954" s="2"/>
      <c r="F954" s="3"/>
      <c r="G954" s="3"/>
      <c r="H954" s="3"/>
      <c r="I954" s="3"/>
      <c r="J954" s="3"/>
      <c r="K954" s="3"/>
      <c r="M954" s="10"/>
      <c r="N954" s="3"/>
      <c r="O954" s="3"/>
      <c r="P954" s="3"/>
    </row>
    <row r="955" spans="4:16" x14ac:dyDescent="0.25">
      <c r="D955" s="2"/>
      <c r="F955" s="3"/>
      <c r="G955" s="3"/>
      <c r="H955" s="3"/>
      <c r="I955" s="3"/>
      <c r="J955" s="3"/>
      <c r="K955" s="3"/>
      <c r="M955" s="10"/>
      <c r="N955" s="3"/>
      <c r="O955" s="3"/>
      <c r="P955" s="3"/>
    </row>
    <row r="956" spans="4:16" x14ac:dyDescent="0.25">
      <c r="D956" s="2"/>
      <c r="F956" s="3"/>
      <c r="G956" s="3"/>
      <c r="H956" s="3"/>
      <c r="I956" s="3"/>
      <c r="J956" s="3"/>
      <c r="K956" s="3"/>
      <c r="M956" s="10"/>
      <c r="N956" s="3"/>
      <c r="O956" s="3"/>
      <c r="P956" s="3"/>
    </row>
    <row r="957" spans="4:16" x14ac:dyDescent="0.25">
      <c r="D957" s="2"/>
      <c r="F957" s="3"/>
      <c r="G957" s="3"/>
      <c r="H957" s="3"/>
      <c r="I957" s="3"/>
      <c r="J957" s="3"/>
      <c r="K957" s="3"/>
      <c r="M957" s="10"/>
      <c r="N957" s="3"/>
      <c r="O957" s="3"/>
      <c r="P957" s="3"/>
    </row>
    <row r="958" spans="4:16" x14ac:dyDescent="0.25">
      <c r="D958" s="2"/>
      <c r="F958" s="3"/>
      <c r="G958" s="3"/>
      <c r="H958" s="3"/>
      <c r="I958" s="3"/>
      <c r="J958" s="3"/>
      <c r="K958" s="3"/>
      <c r="M958" s="10"/>
      <c r="N958" s="3"/>
      <c r="O958" s="3"/>
      <c r="P958" s="3"/>
    </row>
    <row r="959" spans="4:16" x14ac:dyDescent="0.25">
      <c r="D959" s="2"/>
      <c r="F959" s="3"/>
      <c r="G959" s="3"/>
      <c r="H959" s="3"/>
      <c r="I959" s="3"/>
      <c r="J959" s="3"/>
      <c r="K959" s="3"/>
      <c r="M959" s="10"/>
      <c r="N959" s="3"/>
      <c r="O959" s="3"/>
      <c r="P959" s="3"/>
    </row>
    <row r="960" spans="4:16" x14ac:dyDescent="0.25">
      <c r="D960" s="2"/>
      <c r="F960" s="3"/>
      <c r="G960" s="3"/>
      <c r="H960" s="3"/>
      <c r="I960" s="3"/>
      <c r="J960" s="3"/>
      <c r="K960" s="3"/>
      <c r="M960" s="10"/>
      <c r="N960" s="3"/>
      <c r="O960" s="3"/>
      <c r="P960" s="3"/>
    </row>
    <row r="961" spans="4:16" x14ac:dyDescent="0.25">
      <c r="D961" s="2"/>
      <c r="F961" s="3"/>
      <c r="G961" s="3"/>
      <c r="H961" s="3"/>
      <c r="I961" s="3"/>
      <c r="J961" s="3"/>
      <c r="K961" s="3"/>
      <c r="M961" s="10"/>
      <c r="N961" s="3"/>
      <c r="O961" s="3"/>
      <c r="P961" s="3"/>
    </row>
    <row r="962" spans="4:16" x14ac:dyDescent="0.25">
      <c r="D962" s="2"/>
      <c r="F962" s="3"/>
      <c r="G962" s="3"/>
      <c r="H962" s="3"/>
      <c r="I962" s="3"/>
      <c r="J962" s="3"/>
      <c r="K962" s="3"/>
      <c r="M962" s="10"/>
      <c r="N962" s="3"/>
      <c r="O962" s="3"/>
      <c r="P962" s="3"/>
    </row>
    <row r="963" spans="4:16" x14ac:dyDescent="0.25">
      <c r="D963" s="2"/>
      <c r="F963" s="3"/>
      <c r="G963" s="3"/>
      <c r="H963" s="3"/>
      <c r="I963" s="3"/>
      <c r="J963" s="3"/>
      <c r="K963" s="3"/>
      <c r="M963" s="10"/>
      <c r="N963" s="3"/>
      <c r="O963" s="3"/>
      <c r="P963" s="3"/>
    </row>
    <row r="964" spans="4:16" x14ac:dyDescent="0.25">
      <c r="D964" s="2"/>
      <c r="F964" s="3"/>
      <c r="G964" s="3"/>
      <c r="H964" s="3"/>
      <c r="I964" s="3"/>
      <c r="J964" s="3"/>
      <c r="K964" s="3"/>
      <c r="M964" s="10"/>
      <c r="N964" s="3"/>
      <c r="O964" s="3"/>
      <c r="P964" s="3"/>
    </row>
    <row r="965" spans="4:16" x14ac:dyDescent="0.25">
      <c r="D965" s="2"/>
      <c r="F965" s="3"/>
      <c r="G965" s="3"/>
      <c r="H965" s="3"/>
      <c r="I965" s="3"/>
      <c r="J965" s="3"/>
      <c r="K965" s="3"/>
      <c r="M965" s="10"/>
      <c r="N965" s="3"/>
      <c r="O965" s="3"/>
      <c r="P965" s="3"/>
    </row>
    <row r="966" spans="4:16" x14ac:dyDescent="0.25">
      <c r="D966" s="2"/>
      <c r="F966" s="3"/>
      <c r="G966" s="3"/>
      <c r="H966" s="3"/>
      <c r="I966" s="3"/>
      <c r="J966" s="3"/>
      <c r="K966" s="3"/>
      <c r="M966" s="10"/>
      <c r="N966" s="3"/>
      <c r="O966" s="3"/>
      <c r="P966" s="3"/>
    </row>
    <row r="967" spans="4:16" x14ac:dyDescent="0.25">
      <c r="D967" s="2"/>
      <c r="F967" s="3"/>
      <c r="G967" s="3"/>
      <c r="H967" s="3"/>
      <c r="I967" s="3"/>
      <c r="J967" s="3"/>
      <c r="K967" s="3"/>
      <c r="M967" s="10"/>
      <c r="N967" s="3"/>
      <c r="O967" s="3"/>
      <c r="P967" s="3"/>
    </row>
    <row r="968" spans="4:16" x14ac:dyDescent="0.25">
      <c r="D968" s="2"/>
      <c r="F968" s="3"/>
      <c r="G968" s="3"/>
      <c r="H968" s="3"/>
      <c r="I968" s="3"/>
      <c r="J968" s="3"/>
      <c r="K968" s="3"/>
      <c r="M968" s="10"/>
      <c r="N968" s="3"/>
      <c r="O968" s="3"/>
      <c r="P968" s="3"/>
    </row>
    <row r="969" spans="4:16" x14ac:dyDescent="0.25">
      <c r="D969" s="2"/>
      <c r="F969" s="3"/>
      <c r="G969" s="3"/>
      <c r="H969" s="3"/>
      <c r="I969" s="3"/>
      <c r="J969" s="3"/>
      <c r="K969" s="3"/>
      <c r="M969" s="10"/>
      <c r="N969" s="3"/>
      <c r="O969" s="3"/>
      <c r="P969" s="3"/>
    </row>
    <row r="970" spans="4:16" x14ac:dyDescent="0.25">
      <c r="D970" s="2"/>
      <c r="F970" s="3"/>
      <c r="G970" s="3"/>
      <c r="H970" s="3"/>
      <c r="I970" s="3"/>
      <c r="J970" s="3"/>
      <c r="K970" s="3"/>
      <c r="M970" s="10"/>
      <c r="N970" s="3"/>
      <c r="O970" s="3"/>
      <c r="P970" s="3"/>
    </row>
    <row r="971" spans="4:16" x14ac:dyDescent="0.25">
      <c r="D971" s="2"/>
      <c r="F971" s="3"/>
      <c r="G971" s="3"/>
      <c r="H971" s="3"/>
      <c r="I971" s="3"/>
      <c r="J971" s="3"/>
      <c r="K971" s="3"/>
      <c r="M971" s="10"/>
      <c r="N971" s="3"/>
      <c r="O971" s="3"/>
      <c r="P971" s="3"/>
    </row>
    <row r="972" spans="4:16" x14ac:dyDescent="0.25">
      <c r="D972" s="2"/>
      <c r="F972" s="3"/>
      <c r="G972" s="3"/>
      <c r="H972" s="3"/>
      <c r="I972" s="3"/>
      <c r="J972" s="3"/>
      <c r="K972" s="3"/>
      <c r="M972" s="10"/>
      <c r="N972" s="3"/>
      <c r="O972" s="3"/>
      <c r="P972" s="3"/>
    </row>
    <row r="973" spans="4:16" x14ac:dyDescent="0.25">
      <c r="D973" s="2"/>
      <c r="F973" s="3"/>
      <c r="G973" s="3"/>
      <c r="H973" s="3"/>
      <c r="I973" s="3"/>
      <c r="J973" s="3"/>
      <c r="K973" s="3"/>
      <c r="M973" s="10"/>
      <c r="N973" s="3"/>
      <c r="O973" s="3"/>
      <c r="P973" s="3"/>
    </row>
    <row r="974" spans="4:16" x14ac:dyDescent="0.25">
      <c r="D974" s="2"/>
      <c r="F974" s="3"/>
      <c r="G974" s="3"/>
      <c r="H974" s="3"/>
      <c r="I974" s="3"/>
      <c r="J974" s="3"/>
      <c r="K974" s="3"/>
      <c r="M974" s="10"/>
      <c r="N974" s="3"/>
      <c r="O974" s="3"/>
      <c r="P974" s="3"/>
    </row>
    <row r="975" spans="4:16" x14ac:dyDescent="0.25">
      <c r="D975" s="2"/>
      <c r="F975" s="3"/>
      <c r="G975" s="3"/>
      <c r="H975" s="3"/>
      <c r="I975" s="3"/>
      <c r="J975" s="3"/>
      <c r="K975" s="3"/>
      <c r="M975" s="10"/>
      <c r="N975" s="3"/>
      <c r="O975" s="3"/>
      <c r="P975" s="3"/>
    </row>
    <row r="976" spans="4:16" x14ac:dyDescent="0.25">
      <c r="D976" s="2"/>
      <c r="F976" s="3"/>
      <c r="G976" s="3"/>
      <c r="H976" s="3"/>
      <c r="I976" s="3"/>
      <c r="J976" s="3"/>
      <c r="K976" s="3"/>
      <c r="M976" s="10"/>
      <c r="N976" s="3"/>
      <c r="O976" s="3"/>
      <c r="P976" s="3"/>
    </row>
    <row r="977" spans="4:16" x14ac:dyDescent="0.25">
      <c r="D977" s="2"/>
      <c r="F977" s="3"/>
      <c r="G977" s="3"/>
      <c r="H977" s="3"/>
      <c r="I977" s="3"/>
      <c r="J977" s="3"/>
      <c r="K977" s="3"/>
      <c r="M977" s="10"/>
      <c r="N977" s="3"/>
      <c r="O977" s="3"/>
      <c r="P977" s="3"/>
    </row>
    <row r="978" spans="4:16" x14ac:dyDescent="0.25">
      <c r="D978" s="2"/>
      <c r="F978" s="3"/>
      <c r="G978" s="3"/>
      <c r="H978" s="3"/>
      <c r="I978" s="3"/>
      <c r="J978" s="3"/>
      <c r="K978" s="3"/>
      <c r="M978" s="10"/>
      <c r="N978" s="3"/>
      <c r="O978" s="3"/>
      <c r="P978" s="3"/>
    </row>
    <row r="979" spans="4:16" x14ac:dyDescent="0.25">
      <c r="D979" s="2"/>
      <c r="F979" s="3"/>
      <c r="G979" s="3"/>
      <c r="H979" s="3"/>
      <c r="I979" s="3"/>
      <c r="J979" s="3"/>
      <c r="K979" s="3"/>
      <c r="M979" s="10"/>
      <c r="N979" s="3"/>
      <c r="O979" s="3"/>
      <c r="P979" s="3"/>
    </row>
    <row r="980" spans="4:16" x14ac:dyDescent="0.25">
      <c r="D980" s="2"/>
      <c r="F980" s="3"/>
      <c r="G980" s="3"/>
      <c r="H980" s="3"/>
      <c r="I980" s="3"/>
      <c r="J980" s="3"/>
      <c r="K980" s="3"/>
      <c r="M980" s="10"/>
      <c r="N980" s="3"/>
      <c r="O980" s="3"/>
      <c r="P980" s="3"/>
    </row>
    <row r="981" spans="4:16" x14ac:dyDescent="0.25">
      <c r="D981" s="2"/>
      <c r="F981" s="3"/>
      <c r="G981" s="3"/>
      <c r="H981" s="3"/>
      <c r="I981" s="3"/>
      <c r="J981" s="3"/>
      <c r="K981" s="3"/>
      <c r="M981" s="10"/>
      <c r="N981" s="3"/>
      <c r="O981" s="3"/>
      <c r="P981" s="3"/>
    </row>
    <row r="982" spans="4:16" x14ac:dyDescent="0.25">
      <c r="D982" s="2"/>
      <c r="F982" s="3"/>
      <c r="G982" s="3"/>
      <c r="H982" s="3"/>
      <c r="I982" s="3"/>
      <c r="J982" s="3"/>
      <c r="K982" s="3"/>
      <c r="M982" s="10"/>
      <c r="N982" s="3"/>
      <c r="O982" s="3"/>
      <c r="P982" s="3"/>
    </row>
    <row r="983" spans="4:16" x14ac:dyDescent="0.25">
      <c r="D983" s="2"/>
      <c r="F983" s="3"/>
      <c r="G983" s="3"/>
      <c r="H983" s="3"/>
      <c r="I983" s="3"/>
      <c r="J983" s="3"/>
      <c r="K983" s="3"/>
      <c r="M983" s="10"/>
      <c r="N983" s="3"/>
      <c r="O983" s="3"/>
      <c r="P983" s="3"/>
    </row>
    <row r="984" spans="4:16" x14ac:dyDescent="0.25">
      <c r="D984" s="2"/>
      <c r="F984" s="3"/>
      <c r="G984" s="3"/>
      <c r="H984" s="3"/>
      <c r="I984" s="3"/>
      <c r="J984" s="3"/>
      <c r="K984" s="3"/>
      <c r="M984" s="10"/>
      <c r="N984" s="3"/>
      <c r="O984" s="3"/>
      <c r="P984" s="3"/>
    </row>
    <row r="985" spans="4:16" x14ac:dyDescent="0.25">
      <c r="D985" s="2"/>
      <c r="F985" s="3"/>
      <c r="G985" s="3"/>
      <c r="H985" s="3"/>
      <c r="I985" s="3"/>
      <c r="J985" s="3"/>
      <c r="K985" s="3"/>
      <c r="M985" s="10"/>
      <c r="N985" s="3"/>
      <c r="O985" s="3"/>
      <c r="P985" s="3"/>
    </row>
    <row r="986" spans="4:16" x14ac:dyDescent="0.25">
      <c r="D986" s="2"/>
      <c r="F986" s="3"/>
      <c r="G986" s="3"/>
      <c r="H986" s="3"/>
      <c r="I986" s="3"/>
      <c r="J986" s="3"/>
      <c r="K986" s="3"/>
      <c r="M986" s="10"/>
      <c r="N986" s="3"/>
      <c r="O986" s="3"/>
      <c r="P986" s="3"/>
    </row>
    <row r="987" spans="4:16" x14ac:dyDescent="0.25">
      <c r="D987" s="2"/>
      <c r="F987" s="3"/>
      <c r="G987" s="3"/>
      <c r="H987" s="3"/>
      <c r="I987" s="3"/>
      <c r="J987" s="3"/>
      <c r="K987" s="3"/>
      <c r="M987" s="10"/>
      <c r="N987" s="3"/>
      <c r="O987" s="3"/>
      <c r="P987" s="3"/>
    </row>
    <row r="988" spans="4:16" x14ac:dyDescent="0.25">
      <c r="D988" s="2"/>
      <c r="F988" s="3"/>
      <c r="G988" s="3"/>
      <c r="H988" s="3"/>
      <c r="I988" s="3"/>
      <c r="J988" s="3"/>
      <c r="K988" s="3"/>
      <c r="M988" s="10"/>
      <c r="N988" s="3"/>
      <c r="O988" s="3"/>
      <c r="P988" s="3"/>
    </row>
    <row r="989" spans="4:16" x14ac:dyDescent="0.25">
      <c r="D989" s="2"/>
      <c r="F989" s="3"/>
      <c r="G989" s="3"/>
      <c r="H989" s="3"/>
      <c r="I989" s="3"/>
      <c r="J989" s="3"/>
      <c r="K989" s="3"/>
      <c r="M989" s="10"/>
      <c r="N989" s="3"/>
      <c r="O989" s="3"/>
      <c r="P989" s="3"/>
    </row>
    <row r="990" spans="4:16" x14ac:dyDescent="0.25">
      <c r="D990" s="2"/>
      <c r="F990" s="3"/>
      <c r="G990" s="3"/>
      <c r="H990" s="3"/>
      <c r="I990" s="3"/>
      <c r="J990" s="3"/>
      <c r="K990" s="3"/>
      <c r="M990" s="10"/>
      <c r="N990" s="3"/>
      <c r="O990" s="3"/>
      <c r="P990" s="3"/>
    </row>
    <row r="991" spans="4:16" x14ac:dyDescent="0.25">
      <c r="D991" s="2"/>
      <c r="F991" s="3"/>
      <c r="G991" s="3"/>
      <c r="H991" s="3"/>
      <c r="I991" s="3"/>
      <c r="J991" s="3"/>
      <c r="K991" s="3"/>
      <c r="M991" s="10"/>
      <c r="N991" s="3"/>
      <c r="O991" s="3"/>
      <c r="P991" s="3"/>
    </row>
    <row r="992" spans="4:16" x14ac:dyDescent="0.25">
      <c r="D992" s="2"/>
      <c r="F992" s="3"/>
      <c r="G992" s="3"/>
      <c r="H992" s="3"/>
      <c r="I992" s="3"/>
      <c r="J992" s="3"/>
      <c r="K992" s="3"/>
      <c r="M992" s="10"/>
      <c r="N992" s="3"/>
      <c r="O992" s="3"/>
      <c r="P992" s="3"/>
    </row>
    <row r="993" spans="4:16" x14ac:dyDescent="0.25">
      <c r="D993" s="2"/>
      <c r="F993" s="3"/>
      <c r="G993" s="3"/>
      <c r="H993" s="3"/>
      <c r="I993" s="3"/>
      <c r="J993" s="3"/>
      <c r="K993" s="3"/>
      <c r="M993" s="10"/>
      <c r="N993" s="3"/>
      <c r="O993" s="3"/>
      <c r="P993" s="3"/>
    </row>
    <row r="994" spans="4:16" x14ac:dyDescent="0.25">
      <c r="D994" s="2"/>
      <c r="F994" s="3"/>
      <c r="G994" s="3"/>
      <c r="H994" s="3"/>
      <c r="I994" s="3"/>
      <c r="J994" s="3"/>
      <c r="K994" s="3"/>
      <c r="M994" s="10"/>
      <c r="N994" s="3"/>
      <c r="O994" s="3"/>
      <c r="P994" s="3"/>
    </row>
    <row r="995" spans="4:16" x14ac:dyDescent="0.25">
      <c r="D995" s="2"/>
      <c r="F995" s="3"/>
      <c r="G995" s="3"/>
      <c r="H995" s="3"/>
      <c r="I995" s="3"/>
      <c r="J995" s="3"/>
      <c r="K995" s="3"/>
      <c r="M995" s="10"/>
      <c r="N995" s="3"/>
      <c r="O995" s="3"/>
      <c r="P995" s="3"/>
    </row>
    <row r="996" spans="4:16" x14ac:dyDescent="0.25">
      <c r="D996" s="2"/>
      <c r="F996" s="3"/>
      <c r="G996" s="3"/>
      <c r="H996" s="3"/>
      <c r="I996" s="3"/>
      <c r="J996" s="3"/>
      <c r="K996" s="3"/>
      <c r="M996" s="10"/>
      <c r="N996" s="3"/>
      <c r="O996" s="3"/>
      <c r="P996" s="3"/>
    </row>
    <row r="997" spans="4:16" x14ac:dyDescent="0.25">
      <c r="D997" s="2"/>
      <c r="F997" s="3"/>
      <c r="G997" s="3"/>
      <c r="H997" s="3"/>
      <c r="I997" s="3"/>
      <c r="J997" s="3"/>
      <c r="K997" s="3"/>
      <c r="M997" s="10"/>
      <c r="N997" s="3"/>
      <c r="O997" s="3"/>
      <c r="P997" s="3"/>
    </row>
    <row r="998" spans="4:16" x14ac:dyDescent="0.25">
      <c r="D998" s="2"/>
      <c r="F998" s="3"/>
      <c r="G998" s="3"/>
      <c r="H998" s="3"/>
      <c r="I998" s="3"/>
      <c r="J998" s="3"/>
      <c r="K998" s="3"/>
      <c r="M998" s="10"/>
      <c r="N998" s="3"/>
      <c r="O998" s="3"/>
      <c r="P998" s="3"/>
    </row>
    <row r="999" spans="4:16" x14ac:dyDescent="0.25">
      <c r="D999" s="2"/>
      <c r="F999" s="3"/>
      <c r="G999" s="3"/>
      <c r="H999" s="3"/>
      <c r="I999" s="3"/>
      <c r="J999" s="3"/>
      <c r="K999" s="3"/>
      <c r="M999" s="10"/>
      <c r="N999" s="3"/>
      <c r="O999" s="3"/>
      <c r="P999" s="3"/>
    </row>
    <row r="1000" spans="4:16" x14ac:dyDescent="0.25">
      <c r="D1000" s="2"/>
      <c r="F1000" s="3"/>
      <c r="G1000" s="3"/>
      <c r="H1000" s="3"/>
      <c r="I1000" s="3"/>
      <c r="J1000" s="3"/>
      <c r="K1000" s="3"/>
      <c r="M1000" s="10"/>
      <c r="N1000" s="3"/>
      <c r="O1000" s="3"/>
      <c r="P1000" s="3"/>
    </row>
    <row r="1001" spans="4:16" x14ac:dyDescent="0.25">
      <c r="D1001" s="2"/>
      <c r="F1001" s="3"/>
      <c r="G1001" s="3"/>
      <c r="H1001" s="3"/>
      <c r="I1001" s="3"/>
      <c r="J1001" s="3"/>
      <c r="K1001" s="3"/>
      <c r="M1001" s="10"/>
      <c r="N1001" s="3"/>
      <c r="O1001" s="3"/>
      <c r="P1001" s="3"/>
    </row>
    <row r="1002" spans="4:16" x14ac:dyDescent="0.25">
      <c r="D1002" s="2"/>
      <c r="F1002" s="3"/>
      <c r="G1002" s="3"/>
      <c r="H1002" s="3"/>
      <c r="I1002" s="3"/>
      <c r="J1002" s="3"/>
      <c r="K1002" s="3"/>
      <c r="M1002" s="10"/>
      <c r="N1002" s="3"/>
      <c r="O1002" s="3"/>
      <c r="P1002" s="3"/>
    </row>
    <row r="1003" spans="4:16" x14ac:dyDescent="0.25">
      <c r="D1003" s="2"/>
      <c r="F1003" s="3"/>
      <c r="G1003" s="3"/>
      <c r="H1003" s="3"/>
      <c r="I1003" s="3"/>
      <c r="J1003" s="3"/>
      <c r="K1003" s="3"/>
      <c r="M1003" s="10"/>
      <c r="N1003" s="3"/>
      <c r="O1003" s="3"/>
      <c r="P1003" s="3"/>
    </row>
    <row r="1004" spans="4:16" x14ac:dyDescent="0.25">
      <c r="D1004" s="2"/>
      <c r="F1004" s="3"/>
      <c r="G1004" s="3"/>
      <c r="H1004" s="3"/>
      <c r="I1004" s="3"/>
      <c r="J1004" s="3"/>
      <c r="K1004" s="3"/>
      <c r="M1004" s="10"/>
      <c r="N1004" s="3"/>
      <c r="O1004" s="3"/>
      <c r="P1004" s="3"/>
    </row>
    <row r="1005" spans="4:16" x14ac:dyDescent="0.25">
      <c r="D1005" s="2"/>
      <c r="F1005" s="3"/>
      <c r="G1005" s="3"/>
      <c r="H1005" s="3"/>
      <c r="I1005" s="3"/>
      <c r="J1005" s="3"/>
      <c r="K1005" s="3"/>
      <c r="M1005" s="10"/>
      <c r="N1005" s="3"/>
      <c r="O1005" s="3"/>
      <c r="P1005" s="3"/>
    </row>
    <row r="1006" spans="4:16" x14ac:dyDescent="0.25">
      <c r="D1006" s="2"/>
      <c r="F1006" s="3"/>
      <c r="G1006" s="3"/>
      <c r="H1006" s="3"/>
      <c r="I1006" s="3"/>
      <c r="J1006" s="3"/>
      <c r="K1006" s="3"/>
      <c r="M1006" s="10"/>
      <c r="N1006" s="3"/>
      <c r="O1006" s="3"/>
      <c r="P1006" s="3"/>
    </row>
    <row r="1007" spans="4:16" x14ac:dyDescent="0.25">
      <c r="D1007" s="2"/>
      <c r="F1007" s="3"/>
      <c r="G1007" s="3"/>
      <c r="H1007" s="3"/>
      <c r="I1007" s="3"/>
      <c r="J1007" s="3"/>
      <c r="K1007" s="3"/>
      <c r="M1007" s="10"/>
      <c r="N1007" s="3"/>
      <c r="O1007" s="3"/>
      <c r="P1007" s="3"/>
    </row>
    <row r="1008" spans="4:16" x14ac:dyDescent="0.25">
      <c r="D1008" s="2"/>
      <c r="F1008" s="3"/>
      <c r="G1008" s="3"/>
      <c r="H1008" s="3"/>
      <c r="I1008" s="3"/>
      <c r="J1008" s="3"/>
      <c r="K1008" s="3"/>
      <c r="M1008" s="10"/>
      <c r="N1008" s="3"/>
      <c r="O1008" s="3"/>
      <c r="P1008" s="3"/>
    </row>
    <row r="1009" spans="4:16" x14ac:dyDescent="0.25">
      <c r="D1009" s="2"/>
      <c r="F1009" s="3"/>
      <c r="G1009" s="3"/>
      <c r="H1009" s="3"/>
      <c r="I1009" s="3"/>
      <c r="J1009" s="3"/>
      <c r="K1009" s="3"/>
      <c r="M1009" s="10"/>
      <c r="N1009" s="3"/>
      <c r="O1009" s="3"/>
      <c r="P1009" s="3"/>
    </row>
    <row r="1010" spans="4:16" x14ac:dyDescent="0.25">
      <c r="D1010" s="2"/>
      <c r="F1010" s="3"/>
      <c r="G1010" s="3"/>
      <c r="H1010" s="3"/>
      <c r="I1010" s="3"/>
      <c r="J1010" s="3"/>
      <c r="K1010" s="3"/>
      <c r="M1010" s="10"/>
      <c r="N1010" s="3"/>
      <c r="O1010" s="3"/>
      <c r="P1010" s="3"/>
    </row>
    <row r="1011" spans="4:16" x14ac:dyDescent="0.25">
      <c r="D1011" s="2"/>
      <c r="F1011" s="3"/>
      <c r="G1011" s="3"/>
      <c r="H1011" s="3"/>
      <c r="I1011" s="3"/>
      <c r="J1011" s="3"/>
      <c r="K1011" s="3"/>
      <c r="M1011" s="10"/>
      <c r="N1011" s="3"/>
      <c r="O1011" s="3"/>
      <c r="P1011" s="3"/>
    </row>
    <row r="1012" spans="4:16" x14ac:dyDescent="0.25">
      <c r="D1012" s="2"/>
      <c r="F1012" s="3"/>
      <c r="G1012" s="3"/>
      <c r="H1012" s="3"/>
      <c r="I1012" s="3"/>
      <c r="J1012" s="3"/>
      <c r="K1012" s="3"/>
      <c r="M1012" s="10"/>
      <c r="N1012" s="3"/>
      <c r="O1012" s="3"/>
      <c r="P1012" s="3"/>
    </row>
    <row r="1013" spans="4:16" x14ac:dyDescent="0.25">
      <c r="D1013" s="2"/>
      <c r="F1013" s="3"/>
      <c r="G1013" s="3"/>
      <c r="H1013" s="3"/>
      <c r="I1013" s="3"/>
      <c r="J1013" s="3"/>
      <c r="K1013" s="3"/>
      <c r="M1013" s="10"/>
      <c r="N1013" s="3"/>
      <c r="O1013" s="3"/>
      <c r="P1013" s="3"/>
    </row>
    <row r="1014" spans="4:16" x14ac:dyDescent="0.25">
      <c r="D1014" s="2"/>
      <c r="F1014" s="3"/>
      <c r="G1014" s="3"/>
      <c r="H1014" s="3"/>
      <c r="I1014" s="3"/>
      <c r="J1014" s="3"/>
      <c r="K1014" s="3"/>
      <c r="M1014" s="10"/>
      <c r="N1014" s="3"/>
      <c r="O1014" s="3"/>
      <c r="P1014" s="3"/>
    </row>
    <row r="1015" spans="4:16" x14ac:dyDescent="0.25">
      <c r="D1015" s="2"/>
      <c r="F1015" s="3"/>
      <c r="G1015" s="3"/>
      <c r="H1015" s="3"/>
      <c r="I1015" s="3"/>
      <c r="J1015" s="3"/>
      <c r="K1015" s="3"/>
      <c r="M1015" s="10"/>
      <c r="N1015" s="3"/>
      <c r="O1015" s="3"/>
      <c r="P1015" s="3"/>
    </row>
    <row r="1016" spans="4:16" x14ac:dyDescent="0.25">
      <c r="D1016" s="2"/>
      <c r="F1016" s="3"/>
      <c r="G1016" s="3"/>
      <c r="H1016" s="3"/>
      <c r="I1016" s="3"/>
      <c r="J1016" s="3"/>
      <c r="K1016" s="3"/>
      <c r="M1016" s="10"/>
      <c r="N1016" s="3"/>
      <c r="O1016" s="3"/>
      <c r="P1016" s="3"/>
    </row>
    <row r="1017" spans="4:16" x14ac:dyDescent="0.25">
      <c r="D1017" s="2"/>
      <c r="F1017" s="3"/>
      <c r="G1017" s="3"/>
      <c r="H1017" s="3"/>
      <c r="I1017" s="3"/>
      <c r="J1017" s="3"/>
      <c r="K1017" s="3"/>
      <c r="M1017" s="10"/>
      <c r="N1017" s="3"/>
      <c r="O1017" s="3"/>
      <c r="P1017" s="3"/>
    </row>
    <row r="1018" spans="4:16" x14ac:dyDescent="0.25">
      <c r="D1018" s="2"/>
      <c r="F1018" s="3"/>
      <c r="G1018" s="3"/>
      <c r="H1018" s="3"/>
      <c r="I1018" s="3"/>
      <c r="J1018" s="3"/>
      <c r="K1018" s="3"/>
      <c r="M1018" s="10"/>
      <c r="N1018" s="3"/>
      <c r="O1018" s="3"/>
      <c r="P1018" s="3"/>
    </row>
    <row r="1019" spans="4:16" x14ac:dyDescent="0.25">
      <c r="D1019" s="2"/>
      <c r="F1019" s="3"/>
      <c r="G1019" s="3"/>
      <c r="H1019" s="3"/>
      <c r="I1019" s="3"/>
      <c r="J1019" s="3"/>
      <c r="K1019" s="3"/>
      <c r="M1019" s="10"/>
      <c r="N1019" s="3"/>
      <c r="O1019" s="3"/>
      <c r="P1019" s="3"/>
    </row>
    <row r="1020" spans="4:16" x14ac:dyDescent="0.25">
      <c r="D1020" s="2"/>
      <c r="F1020" s="3"/>
      <c r="G1020" s="3"/>
      <c r="H1020" s="3"/>
      <c r="I1020" s="3"/>
      <c r="J1020" s="3"/>
      <c r="K1020" s="3"/>
      <c r="M1020" s="10"/>
      <c r="N1020" s="3"/>
      <c r="O1020" s="3"/>
      <c r="P1020" s="3"/>
    </row>
    <row r="1021" spans="4:16" x14ac:dyDescent="0.25">
      <c r="D1021" s="2"/>
      <c r="F1021" s="3"/>
      <c r="G1021" s="3"/>
      <c r="H1021" s="3"/>
      <c r="I1021" s="3"/>
      <c r="J1021" s="3"/>
      <c r="K1021" s="3"/>
      <c r="M1021" s="10"/>
      <c r="N1021" s="3"/>
      <c r="O1021" s="3"/>
      <c r="P1021" s="3"/>
    </row>
    <row r="1022" spans="4:16" x14ac:dyDescent="0.25">
      <c r="D1022" s="2"/>
      <c r="F1022" s="3"/>
      <c r="G1022" s="3"/>
      <c r="H1022" s="3"/>
      <c r="I1022" s="3"/>
      <c r="J1022" s="3"/>
      <c r="K1022" s="3"/>
      <c r="M1022" s="10"/>
      <c r="N1022" s="3"/>
      <c r="O1022" s="3"/>
      <c r="P1022" s="3"/>
    </row>
    <row r="1023" spans="4:16" x14ac:dyDescent="0.25">
      <c r="D1023" s="2"/>
      <c r="F1023" s="3"/>
      <c r="G1023" s="3"/>
      <c r="H1023" s="3"/>
      <c r="I1023" s="3"/>
      <c r="J1023" s="3"/>
      <c r="K1023" s="3"/>
      <c r="M1023" s="10"/>
      <c r="N1023" s="3"/>
      <c r="O1023" s="3"/>
      <c r="P1023" s="3"/>
    </row>
    <row r="1024" spans="4:16" x14ac:dyDescent="0.25">
      <c r="D1024" s="2"/>
      <c r="F1024" s="3"/>
      <c r="G1024" s="3"/>
      <c r="H1024" s="3"/>
      <c r="I1024" s="3"/>
      <c r="J1024" s="3"/>
      <c r="K1024" s="3"/>
      <c r="M1024" s="10"/>
      <c r="N1024" s="3"/>
      <c r="O1024" s="3"/>
      <c r="P1024" s="3"/>
    </row>
    <row r="1025" spans="4:16" x14ac:dyDescent="0.25">
      <c r="D1025" s="2"/>
      <c r="F1025" s="3"/>
      <c r="G1025" s="3"/>
      <c r="H1025" s="3"/>
      <c r="I1025" s="3"/>
      <c r="J1025" s="3"/>
      <c r="K1025" s="3"/>
      <c r="M1025" s="10"/>
      <c r="N1025" s="3"/>
      <c r="O1025" s="3"/>
      <c r="P1025" s="3"/>
    </row>
    <row r="1026" spans="4:16" x14ac:dyDescent="0.25">
      <c r="D1026" s="2"/>
      <c r="F1026" s="3"/>
      <c r="G1026" s="3"/>
      <c r="H1026" s="3"/>
      <c r="I1026" s="3"/>
      <c r="J1026" s="3"/>
      <c r="K1026" s="3"/>
      <c r="M1026" s="10"/>
      <c r="N1026" s="3"/>
      <c r="O1026" s="3"/>
      <c r="P1026" s="3"/>
    </row>
    <row r="1027" spans="4:16" x14ac:dyDescent="0.25">
      <c r="D1027" s="2"/>
      <c r="F1027" s="3"/>
      <c r="G1027" s="3"/>
      <c r="H1027" s="3"/>
      <c r="I1027" s="3"/>
      <c r="J1027" s="3"/>
      <c r="K1027" s="3"/>
      <c r="M1027" s="10"/>
      <c r="N1027" s="3"/>
      <c r="O1027" s="3"/>
      <c r="P1027" s="3"/>
    </row>
    <row r="1028" spans="4:16" x14ac:dyDescent="0.25">
      <c r="D1028" s="2"/>
      <c r="F1028" s="3"/>
      <c r="G1028" s="3"/>
      <c r="H1028" s="3"/>
      <c r="I1028" s="3"/>
      <c r="J1028" s="3"/>
      <c r="K1028" s="3"/>
      <c r="M1028" s="10"/>
      <c r="N1028" s="3"/>
      <c r="O1028" s="3"/>
      <c r="P1028" s="3"/>
    </row>
    <row r="1029" spans="4:16" x14ac:dyDescent="0.25">
      <c r="D1029" s="2"/>
      <c r="F1029" s="3"/>
      <c r="G1029" s="3"/>
      <c r="H1029" s="3"/>
      <c r="I1029" s="3"/>
      <c r="J1029" s="3"/>
      <c r="K1029" s="3"/>
      <c r="M1029" s="10"/>
      <c r="N1029" s="3"/>
      <c r="O1029" s="3"/>
      <c r="P1029" s="3"/>
    </row>
    <row r="1030" spans="4:16" x14ac:dyDescent="0.25">
      <c r="D1030" s="2"/>
      <c r="F1030" s="3"/>
      <c r="G1030" s="3"/>
      <c r="H1030" s="3"/>
      <c r="I1030" s="3"/>
      <c r="J1030" s="3"/>
      <c r="K1030" s="3"/>
      <c r="M1030" s="10"/>
      <c r="N1030" s="3"/>
      <c r="O1030" s="3"/>
      <c r="P1030" s="3"/>
    </row>
    <row r="1031" spans="4:16" x14ac:dyDescent="0.25">
      <c r="D1031" s="2"/>
      <c r="F1031" s="3"/>
      <c r="G1031" s="3"/>
      <c r="H1031" s="3"/>
      <c r="I1031" s="3"/>
      <c r="J1031" s="3"/>
      <c r="K1031" s="3"/>
      <c r="M1031" s="10"/>
      <c r="N1031" s="3"/>
      <c r="O1031" s="3"/>
      <c r="P1031" s="3"/>
    </row>
    <row r="1032" spans="4:16" x14ac:dyDescent="0.25">
      <c r="D1032" s="2"/>
      <c r="F1032" s="3"/>
      <c r="G1032" s="3"/>
      <c r="H1032" s="3"/>
      <c r="I1032" s="3"/>
      <c r="J1032" s="3"/>
      <c r="K1032" s="3"/>
      <c r="M1032" s="10"/>
      <c r="N1032" s="3"/>
      <c r="O1032" s="3"/>
      <c r="P1032" s="3"/>
    </row>
    <row r="1033" spans="4:16" x14ac:dyDescent="0.25">
      <c r="D1033" s="2"/>
      <c r="F1033" s="3"/>
      <c r="G1033" s="3"/>
      <c r="H1033" s="3"/>
      <c r="I1033" s="3"/>
      <c r="J1033" s="3"/>
      <c r="K1033" s="3"/>
      <c r="M1033" s="10"/>
      <c r="N1033" s="3"/>
      <c r="O1033" s="3"/>
      <c r="P1033" s="3"/>
    </row>
    <row r="1034" spans="4:16" x14ac:dyDescent="0.25">
      <c r="D1034" s="2"/>
      <c r="F1034" s="3"/>
      <c r="G1034" s="3"/>
      <c r="H1034" s="3"/>
      <c r="I1034" s="3"/>
      <c r="J1034" s="3"/>
      <c r="K1034" s="3"/>
      <c r="M1034" s="10"/>
      <c r="N1034" s="3"/>
      <c r="O1034" s="3"/>
      <c r="P1034" s="3"/>
    </row>
    <row r="1035" spans="4:16" x14ac:dyDescent="0.25">
      <c r="D1035" s="2"/>
      <c r="F1035" s="3"/>
      <c r="G1035" s="3"/>
      <c r="H1035" s="3"/>
      <c r="I1035" s="3"/>
      <c r="J1035" s="3"/>
      <c r="K1035" s="3"/>
      <c r="M1035" s="10"/>
      <c r="N1035" s="3"/>
      <c r="O1035" s="3"/>
      <c r="P1035" s="3"/>
    </row>
    <row r="1036" spans="4:16" x14ac:dyDescent="0.25">
      <c r="D1036" s="2"/>
      <c r="F1036" s="3"/>
      <c r="G1036" s="3"/>
      <c r="H1036" s="3"/>
      <c r="I1036" s="3"/>
      <c r="J1036" s="3"/>
      <c r="K1036" s="3"/>
      <c r="M1036" s="10"/>
      <c r="N1036" s="3"/>
      <c r="O1036" s="3"/>
      <c r="P1036" s="3"/>
    </row>
    <row r="1037" spans="4:16" x14ac:dyDescent="0.25">
      <c r="D1037" s="2"/>
      <c r="F1037" s="3"/>
      <c r="G1037" s="3"/>
      <c r="H1037" s="3"/>
      <c r="I1037" s="3"/>
      <c r="J1037" s="3"/>
      <c r="K1037" s="3"/>
      <c r="M1037" s="10"/>
      <c r="N1037" s="3"/>
      <c r="O1037" s="3"/>
      <c r="P1037" s="3"/>
    </row>
    <row r="1038" spans="4:16" x14ac:dyDescent="0.25">
      <c r="D1038" s="2"/>
      <c r="F1038" s="3"/>
      <c r="G1038" s="3"/>
      <c r="H1038" s="3"/>
      <c r="I1038" s="3"/>
      <c r="J1038" s="3"/>
      <c r="K1038" s="3"/>
      <c r="M1038" s="10"/>
      <c r="N1038" s="3"/>
      <c r="O1038" s="3"/>
      <c r="P1038" s="3"/>
    </row>
    <row r="1039" spans="4:16" x14ac:dyDescent="0.25">
      <c r="D1039" s="2"/>
      <c r="F1039" s="3"/>
      <c r="G1039" s="3"/>
      <c r="H1039" s="3"/>
      <c r="I1039" s="3"/>
      <c r="J1039" s="3"/>
      <c r="K1039" s="3"/>
      <c r="M1039" s="10"/>
      <c r="N1039" s="3"/>
      <c r="O1039" s="3"/>
      <c r="P1039" s="3"/>
    </row>
    <row r="1040" spans="4:16" x14ac:dyDescent="0.25">
      <c r="D1040" s="2"/>
      <c r="F1040" s="3"/>
      <c r="G1040" s="3"/>
      <c r="H1040" s="3"/>
      <c r="I1040" s="3"/>
      <c r="J1040" s="3"/>
      <c r="K1040" s="3"/>
      <c r="M1040" s="10"/>
      <c r="N1040" s="3"/>
      <c r="O1040" s="3"/>
      <c r="P1040" s="3"/>
    </row>
    <row r="1041" spans="4:16" x14ac:dyDescent="0.25">
      <c r="D1041" s="2"/>
      <c r="F1041" s="3"/>
      <c r="G1041" s="3"/>
      <c r="H1041" s="3"/>
      <c r="I1041" s="3"/>
      <c r="J1041" s="3"/>
      <c r="K1041" s="3"/>
      <c r="M1041" s="10"/>
      <c r="N1041" s="3"/>
      <c r="O1041" s="3"/>
      <c r="P1041" s="3"/>
    </row>
    <row r="1042" spans="4:16" x14ac:dyDescent="0.25">
      <c r="D1042" s="2"/>
      <c r="F1042" s="3"/>
      <c r="G1042" s="3"/>
      <c r="H1042" s="3"/>
      <c r="I1042" s="3"/>
      <c r="J1042" s="3"/>
      <c r="K1042" s="3"/>
      <c r="M1042" s="10"/>
      <c r="N1042" s="3"/>
      <c r="O1042" s="3"/>
      <c r="P1042" s="3"/>
    </row>
    <row r="1043" spans="4:16" x14ac:dyDescent="0.25">
      <c r="D1043" s="2"/>
      <c r="F1043" s="3"/>
      <c r="G1043" s="3"/>
      <c r="H1043" s="3"/>
      <c r="I1043" s="3"/>
      <c r="J1043" s="3"/>
      <c r="K1043" s="3"/>
      <c r="M1043" s="10"/>
      <c r="N1043" s="3"/>
      <c r="O1043" s="3"/>
      <c r="P1043" s="3"/>
    </row>
    <row r="1044" spans="4:16" x14ac:dyDescent="0.25">
      <c r="D1044" s="2"/>
      <c r="F1044" s="3"/>
      <c r="G1044" s="3"/>
      <c r="H1044" s="3"/>
      <c r="I1044" s="3"/>
      <c r="J1044" s="3"/>
      <c r="K1044" s="3"/>
      <c r="M1044" s="10"/>
      <c r="N1044" s="3"/>
      <c r="O1044" s="3"/>
      <c r="P1044" s="3"/>
    </row>
    <row r="1045" spans="4:16" x14ac:dyDescent="0.25">
      <c r="D1045" s="2"/>
      <c r="F1045" s="3"/>
      <c r="G1045" s="3"/>
      <c r="H1045" s="3"/>
      <c r="I1045" s="3"/>
      <c r="J1045" s="3"/>
      <c r="K1045" s="3"/>
      <c r="M1045" s="10"/>
      <c r="N1045" s="3"/>
      <c r="O1045" s="3"/>
      <c r="P1045" s="3"/>
    </row>
    <row r="1046" spans="4:16" x14ac:dyDescent="0.25">
      <c r="D1046" s="2"/>
      <c r="F1046" s="3"/>
      <c r="G1046" s="3"/>
      <c r="H1046" s="3"/>
      <c r="I1046" s="3"/>
      <c r="J1046" s="3"/>
      <c r="K1046" s="3"/>
      <c r="M1046" s="10"/>
      <c r="N1046" s="3"/>
      <c r="O1046" s="3"/>
      <c r="P1046" s="3"/>
    </row>
    <row r="1047" spans="4:16" x14ac:dyDescent="0.25">
      <c r="D1047" s="2"/>
      <c r="F1047" s="3"/>
      <c r="G1047" s="3"/>
      <c r="H1047" s="3"/>
      <c r="I1047" s="3"/>
      <c r="J1047" s="3"/>
      <c r="K1047" s="3"/>
      <c r="M1047" s="10"/>
      <c r="N1047" s="3"/>
      <c r="O1047" s="3"/>
      <c r="P1047" s="3"/>
    </row>
    <row r="1048" spans="4:16" x14ac:dyDescent="0.25">
      <c r="D1048" s="2"/>
      <c r="F1048" s="3"/>
      <c r="G1048" s="3"/>
      <c r="H1048" s="3"/>
      <c r="I1048" s="3"/>
      <c r="J1048" s="3"/>
      <c r="K1048" s="3"/>
      <c r="M1048" s="10"/>
      <c r="N1048" s="3"/>
      <c r="O1048" s="3"/>
      <c r="P1048" s="3"/>
    </row>
    <row r="1049" spans="4:16" x14ac:dyDescent="0.25">
      <c r="D1049" s="2"/>
      <c r="F1049" s="3"/>
      <c r="G1049" s="3"/>
      <c r="H1049" s="3"/>
      <c r="I1049" s="3"/>
      <c r="J1049" s="3"/>
      <c r="K1049" s="3"/>
      <c r="M1049" s="10"/>
      <c r="N1049" s="3"/>
      <c r="O1049" s="3"/>
      <c r="P1049" s="3"/>
    </row>
    <row r="1050" spans="4:16" x14ac:dyDescent="0.25">
      <c r="D1050" s="2"/>
      <c r="F1050" s="3"/>
      <c r="G1050" s="3"/>
      <c r="H1050" s="3"/>
      <c r="I1050" s="3"/>
      <c r="J1050" s="3"/>
      <c r="K1050" s="3"/>
      <c r="M1050" s="10"/>
      <c r="N1050" s="3"/>
      <c r="O1050" s="3"/>
      <c r="P1050" s="3"/>
    </row>
    <row r="1051" spans="4:16" x14ac:dyDescent="0.25">
      <c r="D1051" s="2"/>
      <c r="F1051" s="3"/>
      <c r="G1051" s="3"/>
      <c r="H1051" s="3"/>
      <c r="I1051" s="3"/>
      <c r="J1051" s="3"/>
      <c r="K1051" s="3"/>
      <c r="M1051" s="10"/>
      <c r="N1051" s="3"/>
      <c r="O1051" s="3"/>
      <c r="P1051" s="3"/>
    </row>
    <row r="1052" spans="4:16" x14ac:dyDescent="0.25">
      <c r="D1052" s="2"/>
      <c r="F1052" s="3"/>
      <c r="G1052" s="3"/>
      <c r="H1052" s="3"/>
      <c r="I1052" s="3"/>
      <c r="J1052" s="3"/>
      <c r="K1052" s="3"/>
      <c r="M1052" s="10"/>
      <c r="N1052" s="3"/>
      <c r="O1052" s="3"/>
      <c r="P1052" s="3"/>
    </row>
    <row r="1053" spans="4:16" x14ac:dyDescent="0.25">
      <c r="D1053" s="2"/>
      <c r="F1053" s="3"/>
      <c r="G1053" s="3"/>
      <c r="H1053" s="3"/>
      <c r="I1053" s="3"/>
      <c r="J1053" s="3"/>
      <c r="K1053" s="3"/>
      <c r="M1053" s="10"/>
      <c r="N1053" s="3"/>
      <c r="O1053" s="3"/>
      <c r="P1053" s="3"/>
    </row>
    <row r="1054" spans="4:16" x14ac:dyDescent="0.25">
      <c r="D1054" s="2"/>
      <c r="F1054" s="3"/>
      <c r="G1054" s="3"/>
      <c r="H1054" s="3"/>
      <c r="I1054" s="3"/>
      <c r="J1054" s="3"/>
      <c r="K1054" s="3"/>
      <c r="M1054" s="10"/>
      <c r="N1054" s="3"/>
      <c r="O1054" s="3"/>
      <c r="P1054" s="3"/>
    </row>
    <row r="1055" spans="4:16" x14ac:dyDescent="0.25">
      <c r="D1055" s="2"/>
      <c r="F1055" s="3"/>
      <c r="G1055" s="3"/>
      <c r="H1055" s="3"/>
      <c r="I1055" s="3"/>
      <c r="J1055" s="3"/>
      <c r="K1055" s="3"/>
      <c r="M1055" s="10"/>
      <c r="N1055" s="3"/>
      <c r="O1055" s="3"/>
      <c r="P1055" s="3"/>
    </row>
    <row r="1056" spans="4:16" x14ac:dyDescent="0.25">
      <c r="D1056" s="2"/>
      <c r="F1056" s="3"/>
      <c r="G1056" s="3"/>
      <c r="H1056" s="3"/>
      <c r="I1056" s="3"/>
      <c r="J1056" s="3"/>
      <c r="K1056" s="3"/>
      <c r="M1056" s="10"/>
      <c r="N1056" s="3"/>
      <c r="O1056" s="3"/>
      <c r="P1056" s="3"/>
    </row>
    <row r="1057" spans="4:16" x14ac:dyDescent="0.25">
      <c r="D1057" s="2"/>
      <c r="F1057" s="3"/>
      <c r="G1057" s="3"/>
      <c r="H1057" s="3"/>
      <c r="I1057" s="3"/>
      <c r="J1057" s="3"/>
      <c r="K1057" s="3"/>
      <c r="M1057" s="10"/>
      <c r="N1057" s="3"/>
      <c r="O1057" s="3"/>
      <c r="P1057" s="3"/>
    </row>
    <row r="1058" spans="4:16" x14ac:dyDescent="0.25">
      <c r="D1058" s="2"/>
      <c r="F1058" s="3"/>
      <c r="G1058" s="3"/>
      <c r="H1058" s="3"/>
      <c r="I1058" s="3"/>
      <c r="J1058" s="3"/>
      <c r="K1058" s="3"/>
      <c r="M1058" s="10"/>
      <c r="N1058" s="3"/>
      <c r="O1058" s="3"/>
      <c r="P1058" s="3"/>
    </row>
    <row r="1059" spans="4:16" x14ac:dyDescent="0.25">
      <c r="D1059" s="2"/>
      <c r="F1059" s="3"/>
      <c r="G1059" s="3"/>
      <c r="H1059" s="3"/>
      <c r="I1059" s="3"/>
      <c r="J1059" s="3"/>
      <c r="K1059" s="3"/>
      <c r="M1059" s="10"/>
      <c r="N1059" s="3"/>
      <c r="O1059" s="3"/>
      <c r="P1059" s="3"/>
    </row>
    <row r="1060" spans="4:16" x14ac:dyDescent="0.25">
      <c r="D1060" s="2"/>
      <c r="F1060" s="3"/>
      <c r="G1060" s="3"/>
      <c r="H1060" s="3"/>
      <c r="I1060" s="3"/>
      <c r="J1060" s="3"/>
      <c r="K1060" s="3"/>
      <c r="M1060" s="10"/>
      <c r="N1060" s="3"/>
      <c r="O1060" s="3"/>
      <c r="P1060" s="3"/>
    </row>
    <row r="1061" spans="4:16" x14ac:dyDescent="0.25">
      <c r="D1061" s="2"/>
      <c r="F1061" s="3"/>
      <c r="G1061" s="3"/>
      <c r="H1061" s="3"/>
      <c r="I1061" s="3"/>
      <c r="J1061" s="3"/>
      <c r="K1061" s="3"/>
      <c r="M1061" s="10"/>
      <c r="N1061" s="3"/>
      <c r="O1061" s="3"/>
      <c r="P1061" s="3"/>
    </row>
    <row r="1062" spans="4:16" x14ac:dyDescent="0.25">
      <c r="D1062" s="2"/>
      <c r="F1062" s="3"/>
      <c r="G1062" s="3"/>
      <c r="H1062" s="3"/>
      <c r="I1062" s="3"/>
      <c r="J1062" s="3"/>
      <c r="K1062" s="3"/>
      <c r="M1062" s="10"/>
      <c r="N1062" s="3"/>
      <c r="O1062" s="3"/>
      <c r="P1062" s="3"/>
    </row>
    <row r="1063" spans="4:16" x14ac:dyDescent="0.25">
      <c r="D1063" s="2"/>
      <c r="F1063" s="3"/>
      <c r="G1063" s="3"/>
      <c r="H1063" s="3"/>
      <c r="I1063" s="3"/>
      <c r="J1063" s="3"/>
      <c r="K1063" s="3"/>
      <c r="M1063" s="10"/>
      <c r="N1063" s="3"/>
      <c r="O1063" s="3"/>
      <c r="P1063" s="3"/>
    </row>
    <row r="1064" spans="4:16" x14ac:dyDescent="0.25">
      <c r="D1064" s="2"/>
      <c r="F1064" s="3"/>
      <c r="G1064" s="3"/>
      <c r="H1064" s="3"/>
      <c r="I1064" s="3"/>
      <c r="J1064" s="3"/>
      <c r="K1064" s="3"/>
      <c r="M1064" s="10"/>
      <c r="N1064" s="3"/>
      <c r="O1064" s="3"/>
      <c r="P1064" s="3"/>
    </row>
    <row r="1065" spans="4:16" x14ac:dyDescent="0.25">
      <c r="D1065" s="2"/>
      <c r="F1065" s="3"/>
      <c r="G1065" s="3"/>
      <c r="H1065" s="3"/>
      <c r="I1065" s="3"/>
      <c r="J1065" s="3"/>
      <c r="K1065" s="3"/>
      <c r="M1065" s="10"/>
      <c r="N1065" s="3"/>
      <c r="O1065" s="3"/>
      <c r="P1065" s="3"/>
    </row>
    <row r="1066" spans="4:16" x14ac:dyDescent="0.25">
      <c r="D1066" s="2"/>
      <c r="F1066" s="3"/>
      <c r="G1066" s="3"/>
      <c r="H1066" s="3"/>
      <c r="I1066" s="3"/>
      <c r="J1066" s="3"/>
      <c r="K1066" s="3"/>
      <c r="M1066" s="10"/>
      <c r="N1066" s="3"/>
      <c r="O1066" s="3"/>
      <c r="P1066" s="3"/>
    </row>
    <row r="1067" spans="4:16" x14ac:dyDescent="0.25">
      <c r="D1067" s="2"/>
      <c r="F1067" s="3"/>
      <c r="G1067" s="3"/>
      <c r="H1067" s="3"/>
      <c r="I1067" s="3"/>
      <c r="J1067" s="3"/>
      <c r="K1067" s="3"/>
      <c r="M1067" s="10"/>
      <c r="N1067" s="3"/>
      <c r="O1067" s="3"/>
      <c r="P1067" s="3"/>
    </row>
    <row r="1068" spans="4:16" x14ac:dyDescent="0.25">
      <c r="D1068" s="2"/>
      <c r="F1068" s="3"/>
      <c r="G1068" s="3"/>
      <c r="H1068" s="3"/>
      <c r="I1068" s="3"/>
      <c r="J1068" s="3"/>
      <c r="K1068" s="3"/>
      <c r="M1068" s="10"/>
      <c r="N1068" s="3"/>
      <c r="O1068" s="3"/>
      <c r="P1068" s="3"/>
    </row>
    <row r="1069" spans="4:16" x14ac:dyDescent="0.25">
      <c r="D1069" s="2"/>
      <c r="F1069" s="3"/>
      <c r="G1069" s="3"/>
      <c r="H1069" s="3"/>
      <c r="I1069" s="3"/>
      <c r="J1069" s="3"/>
      <c r="K1069" s="3"/>
      <c r="M1069" s="10"/>
      <c r="N1069" s="3"/>
      <c r="O1069" s="3"/>
      <c r="P1069" s="3"/>
    </row>
    <row r="1070" spans="4:16" x14ac:dyDescent="0.25">
      <c r="D1070" s="2"/>
      <c r="F1070" s="3"/>
      <c r="G1070" s="3"/>
      <c r="H1070" s="3"/>
      <c r="I1070" s="3"/>
      <c r="J1070" s="3"/>
      <c r="K1070" s="3"/>
      <c r="M1070" s="10"/>
      <c r="N1070" s="3"/>
      <c r="O1070" s="3"/>
      <c r="P1070" s="3"/>
    </row>
    <row r="1071" spans="4:16" x14ac:dyDescent="0.25">
      <c r="D1071" s="2"/>
      <c r="F1071" s="3"/>
      <c r="G1071" s="3"/>
      <c r="H1071" s="3"/>
      <c r="I1071" s="3"/>
      <c r="J1071" s="3"/>
      <c r="K1071" s="3"/>
      <c r="M1071" s="10"/>
      <c r="N1071" s="3"/>
      <c r="O1071" s="3"/>
      <c r="P1071" s="3"/>
    </row>
    <row r="1072" spans="4:16" x14ac:dyDescent="0.25">
      <c r="D1072" s="2"/>
      <c r="F1072" s="3"/>
      <c r="G1072" s="3"/>
      <c r="H1072" s="3"/>
      <c r="I1072" s="3"/>
      <c r="J1072" s="3"/>
      <c r="K1072" s="3"/>
      <c r="M1072" s="10"/>
      <c r="N1072" s="3"/>
      <c r="O1072" s="3"/>
      <c r="P1072" s="3"/>
    </row>
    <row r="1073" spans="4:16" x14ac:dyDescent="0.25">
      <c r="D1073" s="2"/>
      <c r="F1073" s="3"/>
      <c r="G1073" s="3"/>
      <c r="H1073" s="3"/>
      <c r="I1073" s="3"/>
      <c r="J1073" s="3"/>
      <c r="K1073" s="3"/>
      <c r="M1073" s="10"/>
      <c r="N1073" s="3"/>
      <c r="O1073" s="3"/>
      <c r="P1073" s="3"/>
    </row>
    <row r="1074" spans="4:16" x14ac:dyDescent="0.25">
      <c r="D1074" s="2"/>
      <c r="F1074" s="3"/>
      <c r="G1074" s="3"/>
      <c r="H1074" s="3"/>
      <c r="I1074" s="3"/>
      <c r="J1074" s="3"/>
      <c r="K1074" s="3"/>
      <c r="M1074" s="10"/>
      <c r="N1074" s="3"/>
      <c r="O1074" s="3"/>
      <c r="P1074" s="3"/>
    </row>
    <row r="1075" spans="4:16" x14ac:dyDescent="0.25">
      <c r="D1075" s="2"/>
      <c r="F1075" s="3"/>
      <c r="G1075" s="3"/>
      <c r="H1075" s="3"/>
      <c r="I1075" s="3"/>
      <c r="J1075" s="3"/>
      <c r="K1075" s="3"/>
      <c r="M1075" s="10"/>
      <c r="N1075" s="3"/>
      <c r="O1075" s="3"/>
      <c r="P1075" s="3"/>
    </row>
    <row r="1076" spans="4:16" x14ac:dyDescent="0.25">
      <c r="D1076" s="2"/>
      <c r="F1076" s="3"/>
      <c r="G1076" s="3"/>
      <c r="H1076" s="3"/>
      <c r="I1076" s="3"/>
      <c r="J1076" s="3"/>
      <c r="K1076" s="3"/>
      <c r="M1076" s="10"/>
      <c r="N1076" s="3"/>
      <c r="O1076" s="3"/>
      <c r="P1076" s="3"/>
    </row>
    <row r="1077" spans="4:16" x14ac:dyDescent="0.25">
      <c r="D1077" s="2"/>
      <c r="F1077" s="3"/>
      <c r="G1077" s="3"/>
      <c r="H1077" s="3"/>
      <c r="I1077" s="3"/>
      <c r="J1077" s="3"/>
      <c r="K1077" s="3"/>
      <c r="M1077" s="10"/>
      <c r="N1077" s="3"/>
      <c r="O1077" s="3"/>
      <c r="P1077" s="3"/>
    </row>
    <row r="1078" spans="4:16" x14ac:dyDescent="0.25">
      <c r="D1078" s="2"/>
      <c r="F1078" s="3"/>
      <c r="G1078" s="3"/>
      <c r="H1078" s="3"/>
      <c r="I1078" s="3"/>
      <c r="J1078" s="3"/>
      <c r="K1078" s="3"/>
      <c r="M1078" s="10"/>
      <c r="N1078" s="3"/>
      <c r="O1078" s="3"/>
      <c r="P1078" s="3"/>
    </row>
    <row r="1079" spans="4:16" x14ac:dyDescent="0.25">
      <c r="D1079" s="2"/>
      <c r="F1079" s="3"/>
      <c r="G1079" s="3"/>
      <c r="H1079" s="3"/>
      <c r="I1079" s="3"/>
      <c r="J1079" s="3"/>
      <c r="K1079" s="3"/>
      <c r="M1079" s="10"/>
      <c r="N1079" s="3"/>
      <c r="O1079" s="3"/>
      <c r="P1079" s="3"/>
    </row>
    <row r="1080" spans="4:16" x14ac:dyDescent="0.25">
      <c r="D1080" s="2"/>
      <c r="F1080" s="3"/>
      <c r="G1080" s="3"/>
      <c r="H1080" s="3"/>
      <c r="I1080" s="3"/>
      <c r="J1080" s="3"/>
      <c r="K1080" s="3"/>
      <c r="M1080" s="10"/>
      <c r="N1080" s="3"/>
      <c r="O1080" s="3"/>
      <c r="P1080" s="3"/>
    </row>
    <row r="1081" spans="4:16" x14ac:dyDescent="0.25">
      <c r="D1081" s="2"/>
      <c r="F1081" s="3"/>
      <c r="G1081" s="3"/>
      <c r="H1081" s="3"/>
      <c r="I1081" s="3"/>
      <c r="J1081" s="3"/>
      <c r="K1081" s="3"/>
      <c r="M1081" s="10"/>
      <c r="N1081" s="3"/>
      <c r="O1081" s="3"/>
      <c r="P1081" s="3"/>
    </row>
    <row r="1082" spans="4:16" x14ac:dyDescent="0.25">
      <c r="D1082" s="2"/>
      <c r="F1082" s="3"/>
      <c r="G1082" s="3"/>
      <c r="H1082" s="3"/>
      <c r="I1082" s="3"/>
      <c r="J1082" s="3"/>
      <c r="K1082" s="3"/>
      <c r="M1082" s="10"/>
      <c r="N1082" s="3"/>
      <c r="O1082" s="3"/>
      <c r="P1082" s="3"/>
    </row>
    <row r="1083" spans="4:16" x14ac:dyDescent="0.25">
      <c r="D1083" s="2"/>
      <c r="F1083" s="3"/>
      <c r="G1083" s="3"/>
      <c r="H1083" s="3"/>
      <c r="I1083" s="3"/>
      <c r="J1083" s="3"/>
      <c r="K1083" s="3"/>
      <c r="M1083" s="10"/>
      <c r="N1083" s="3"/>
      <c r="O1083" s="3"/>
      <c r="P1083" s="3"/>
    </row>
    <row r="1084" spans="4:16" x14ac:dyDescent="0.25">
      <c r="D1084" s="2"/>
      <c r="F1084" s="3"/>
      <c r="G1084" s="3"/>
      <c r="H1084" s="3"/>
      <c r="I1084" s="3"/>
      <c r="J1084" s="3"/>
      <c r="K1084" s="3"/>
      <c r="M1084" s="10"/>
      <c r="N1084" s="3"/>
      <c r="O1084" s="3"/>
      <c r="P1084" s="3"/>
    </row>
    <row r="1085" spans="4:16" x14ac:dyDescent="0.25">
      <c r="D1085" s="2"/>
      <c r="F1085" s="3"/>
      <c r="G1085" s="3"/>
      <c r="H1085" s="3"/>
      <c r="I1085" s="3"/>
      <c r="J1085" s="3"/>
      <c r="K1085" s="3"/>
      <c r="M1085" s="10"/>
      <c r="N1085" s="3"/>
      <c r="O1085" s="3"/>
      <c r="P1085" s="3"/>
    </row>
    <row r="1086" spans="4:16" x14ac:dyDescent="0.25">
      <c r="D1086" s="2"/>
      <c r="F1086" s="3"/>
      <c r="G1086" s="3"/>
      <c r="H1086" s="3"/>
      <c r="I1086" s="3"/>
      <c r="J1086" s="3"/>
      <c r="K1086" s="3"/>
      <c r="M1086" s="10"/>
      <c r="N1086" s="3"/>
      <c r="O1086" s="3"/>
      <c r="P1086" s="3"/>
    </row>
    <row r="1087" spans="4:16" x14ac:dyDescent="0.25">
      <c r="D1087" s="2"/>
      <c r="F1087" s="3"/>
      <c r="G1087" s="3"/>
      <c r="H1087" s="3"/>
      <c r="I1087" s="3"/>
      <c r="J1087" s="3"/>
      <c r="K1087" s="3"/>
      <c r="M1087" s="10"/>
      <c r="N1087" s="3"/>
      <c r="O1087" s="3"/>
      <c r="P1087" s="3"/>
    </row>
    <row r="1088" spans="4:16" x14ac:dyDescent="0.25">
      <c r="D1088" s="2"/>
      <c r="F1088" s="3"/>
      <c r="G1088" s="3"/>
      <c r="H1088" s="3"/>
      <c r="I1088" s="3"/>
      <c r="J1088" s="3"/>
      <c r="K1088" s="3"/>
      <c r="M1088" s="10"/>
      <c r="N1088" s="3"/>
      <c r="O1088" s="3"/>
      <c r="P1088" s="3"/>
    </row>
    <row r="1089" spans="4:16" x14ac:dyDescent="0.25">
      <c r="D1089" s="2"/>
      <c r="F1089" s="3"/>
      <c r="G1089" s="3"/>
      <c r="H1089" s="3"/>
      <c r="I1089" s="3"/>
      <c r="J1089" s="3"/>
      <c r="K1089" s="3"/>
      <c r="M1089" s="10"/>
      <c r="N1089" s="3"/>
      <c r="O1089" s="3"/>
      <c r="P1089" s="3"/>
    </row>
    <row r="1090" spans="4:16" x14ac:dyDescent="0.25">
      <c r="D1090" s="2"/>
      <c r="F1090" s="3"/>
      <c r="G1090" s="3"/>
      <c r="H1090" s="3"/>
      <c r="I1090" s="3"/>
      <c r="J1090" s="3"/>
      <c r="K1090" s="3"/>
      <c r="M1090" s="10"/>
      <c r="N1090" s="3"/>
      <c r="O1090" s="3"/>
      <c r="P1090" s="3"/>
    </row>
    <row r="1091" spans="4:16" x14ac:dyDescent="0.25">
      <c r="D1091" s="2"/>
      <c r="F1091" s="3"/>
      <c r="G1091" s="3"/>
      <c r="H1091" s="3"/>
      <c r="I1091" s="3"/>
      <c r="J1091" s="3"/>
      <c r="K1091" s="3"/>
      <c r="M1091" s="10"/>
      <c r="N1091" s="3"/>
      <c r="O1091" s="3"/>
      <c r="P1091" s="3"/>
    </row>
    <row r="1092" spans="4:16" x14ac:dyDescent="0.25">
      <c r="D1092" s="2"/>
      <c r="F1092" s="3"/>
      <c r="G1092" s="3"/>
      <c r="H1092" s="3"/>
      <c r="I1092" s="3"/>
      <c r="J1092" s="3"/>
      <c r="K1092" s="3"/>
      <c r="M1092" s="10"/>
      <c r="N1092" s="3"/>
      <c r="O1092" s="3"/>
      <c r="P1092" s="3"/>
    </row>
    <row r="1093" spans="4:16" x14ac:dyDescent="0.25">
      <c r="D1093" s="2"/>
      <c r="F1093" s="3"/>
      <c r="G1093" s="3"/>
      <c r="H1093" s="3"/>
      <c r="I1093" s="3"/>
      <c r="J1093" s="3"/>
      <c r="K1093" s="3"/>
      <c r="M1093" s="10"/>
      <c r="N1093" s="3"/>
      <c r="O1093" s="3"/>
      <c r="P1093" s="3"/>
    </row>
    <row r="1094" spans="4:16" x14ac:dyDescent="0.25">
      <c r="D1094" s="2"/>
      <c r="F1094" s="3"/>
      <c r="G1094" s="3"/>
      <c r="H1094" s="3"/>
      <c r="I1094" s="3"/>
      <c r="J1094" s="3"/>
      <c r="K1094" s="3"/>
      <c r="M1094" s="10"/>
      <c r="N1094" s="3"/>
      <c r="O1094" s="3"/>
      <c r="P1094" s="3"/>
    </row>
    <row r="1095" spans="4:16" x14ac:dyDescent="0.25">
      <c r="D1095" s="2"/>
      <c r="F1095" s="3"/>
      <c r="G1095" s="3"/>
      <c r="H1095" s="3"/>
      <c r="I1095" s="3"/>
      <c r="J1095" s="3"/>
      <c r="K1095" s="3"/>
      <c r="M1095" s="10"/>
      <c r="N1095" s="3"/>
      <c r="O1095" s="3"/>
      <c r="P1095" s="3"/>
    </row>
    <row r="1096" spans="4:16" x14ac:dyDescent="0.25">
      <c r="D1096" s="2"/>
      <c r="F1096" s="3"/>
      <c r="G1096" s="3"/>
      <c r="H1096" s="3"/>
      <c r="I1096" s="3"/>
      <c r="J1096" s="3"/>
      <c r="K1096" s="3"/>
      <c r="M1096" s="10"/>
      <c r="N1096" s="3"/>
      <c r="O1096" s="3"/>
      <c r="P1096" s="3"/>
    </row>
    <row r="1097" spans="4:16" x14ac:dyDescent="0.25">
      <c r="D1097" s="2"/>
      <c r="F1097" s="3"/>
      <c r="G1097" s="3"/>
      <c r="H1097" s="3"/>
      <c r="I1097" s="3"/>
      <c r="J1097" s="3"/>
      <c r="K1097" s="3"/>
      <c r="M1097" s="10"/>
      <c r="N1097" s="3"/>
      <c r="O1097" s="3"/>
      <c r="P1097" s="3"/>
    </row>
    <row r="1098" spans="4:16" x14ac:dyDescent="0.25">
      <c r="D1098" s="2"/>
      <c r="F1098" s="3"/>
      <c r="G1098" s="3"/>
      <c r="H1098" s="3"/>
      <c r="I1098" s="3"/>
      <c r="J1098" s="3"/>
      <c r="K1098" s="3"/>
      <c r="M1098" s="10"/>
      <c r="N1098" s="3"/>
      <c r="O1098" s="3"/>
      <c r="P1098" s="3"/>
    </row>
    <row r="1099" spans="4:16" x14ac:dyDescent="0.25">
      <c r="D1099" s="2"/>
      <c r="F1099" s="3"/>
      <c r="G1099" s="3"/>
      <c r="H1099" s="3"/>
      <c r="I1099" s="3"/>
      <c r="J1099" s="3"/>
      <c r="K1099" s="3"/>
      <c r="M1099" s="10"/>
      <c r="N1099" s="3"/>
      <c r="O1099" s="3"/>
      <c r="P1099" s="3"/>
    </row>
    <row r="1100" spans="4:16" x14ac:dyDescent="0.25">
      <c r="D1100" s="2"/>
      <c r="F1100" s="3"/>
      <c r="G1100" s="3"/>
      <c r="H1100" s="3"/>
      <c r="I1100" s="3"/>
      <c r="J1100" s="3"/>
      <c r="K1100" s="3"/>
      <c r="M1100" s="10"/>
      <c r="N1100" s="3"/>
      <c r="O1100" s="3"/>
      <c r="P1100" s="3"/>
    </row>
    <row r="1101" spans="4:16" x14ac:dyDescent="0.25">
      <c r="D1101" s="2"/>
      <c r="F1101" s="3"/>
      <c r="G1101" s="3"/>
      <c r="H1101" s="3"/>
      <c r="I1101" s="3"/>
      <c r="J1101" s="3"/>
      <c r="K1101" s="3"/>
      <c r="M1101" s="10"/>
      <c r="N1101" s="3"/>
      <c r="O1101" s="3"/>
      <c r="P1101" s="3"/>
    </row>
    <row r="1102" spans="4:16" x14ac:dyDescent="0.25">
      <c r="D1102" s="2"/>
      <c r="F1102" s="3"/>
      <c r="G1102" s="3"/>
      <c r="H1102" s="3"/>
      <c r="I1102" s="3"/>
      <c r="J1102" s="3"/>
      <c r="K1102" s="3"/>
      <c r="M1102" s="10"/>
      <c r="N1102" s="3"/>
      <c r="O1102" s="3"/>
      <c r="P1102" s="3"/>
    </row>
    <row r="1103" spans="4:16" x14ac:dyDescent="0.25">
      <c r="D1103" s="2"/>
      <c r="F1103" s="3"/>
      <c r="G1103" s="3"/>
      <c r="H1103" s="3"/>
      <c r="I1103" s="3"/>
      <c r="J1103" s="3"/>
      <c r="K1103" s="3"/>
      <c r="M1103" s="10"/>
      <c r="N1103" s="3"/>
      <c r="O1103" s="3"/>
      <c r="P1103" s="3"/>
    </row>
    <row r="1104" spans="4:16" x14ac:dyDescent="0.25">
      <c r="D1104" s="2"/>
      <c r="F1104" s="3"/>
      <c r="G1104" s="3"/>
      <c r="H1104" s="3"/>
      <c r="I1104" s="3"/>
      <c r="J1104" s="3"/>
      <c r="K1104" s="3"/>
      <c r="M1104" s="10"/>
      <c r="N1104" s="3"/>
      <c r="O1104" s="3"/>
      <c r="P1104" s="3"/>
    </row>
    <row r="1105" spans="4:16" x14ac:dyDescent="0.25">
      <c r="D1105" s="2"/>
      <c r="F1105" s="3"/>
      <c r="G1105" s="3"/>
      <c r="H1105" s="3"/>
      <c r="I1105" s="3"/>
      <c r="J1105" s="3"/>
      <c r="K1105" s="3"/>
      <c r="M1105" s="10"/>
      <c r="N1105" s="3"/>
      <c r="O1105" s="3"/>
      <c r="P1105" s="3"/>
    </row>
    <row r="1106" spans="4:16" x14ac:dyDescent="0.25">
      <c r="D1106" s="2"/>
      <c r="F1106" s="3"/>
      <c r="G1106" s="3"/>
      <c r="H1106" s="3"/>
      <c r="I1106" s="3"/>
      <c r="J1106" s="3"/>
      <c r="K1106" s="3"/>
      <c r="M1106" s="10"/>
      <c r="N1106" s="3"/>
      <c r="O1106" s="3"/>
      <c r="P1106" s="3"/>
    </row>
    <row r="1107" spans="4:16" x14ac:dyDescent="0.25">
      <c r="D1107" s="2"/>
      <c r="F1107" s="3"/>
      <c r="G1107" s="3"/>
      <c r="H1107" s="3"/>
      <c r="I1107" s="3"/>
      <c r="J1107" s="3"/>
      <c r="K1107" s="3"/>
      <c r="M1107" s="10"/>
      <c r="N1107" s="3"/>
      <c r="O1107" s="3"/>
      <c r="P1107" s="3"/>
    </row>
    <row r="1108" spans="4:16" x14ac:dyDescent="0.25">
      <c r="D1108" s="2"/>
      <c r="F1108" s="3"/>
      <c r="G1108" s="3"/>
      <c r="H1108" s="3"/>
      <c r="I1108" s="3"/>
      <c r="J1108" s="3"/>
      <c r="K1108" s="3"/>
      <c r="M1108" s="10"/>
      <c r="N1108" s="3"/>
      <c r="O1108" s="3"/>
      <c r="P1108" s="3"/>
    </row>
    <row r="1109" spans="4:16" x14ac:dyDescent="0.25">
      <c r="D1109" s="2"/>
      <c r="F1109" s="3"/>
      <c r="G1109" s="3"/>
      <c r="H1109" s="3"/>
      <c r="I1109" s="3"/>
      <c r="J1109" s="3"/>
      <c r="K1109" s="3"/>
      <c r="M1109" s="10"/>
      <c r="N1109" s="3"/>
      <c r="O1109" s="3"/>
      <c r="P1109" s="3"/>
    </row>
    <row r="1110" spans="4:16" x14ac:dyDescent="0.25">
      <c r="D1110" s="2"/>
      <c r="F1110" s="3"/>
      <c r="G1110" s="3"/>
      <c r="H1110" s="3"/>
      <c r="I1110" s="3"/>
      <c r="J1110" s="3"/>
      <c r="K1110" s="3"/>
      <c r="M1110" s="10"/>
      <c r="N1110" s="3"/>
      <c r="O1110" s="3"/>
      <c r="P1110" s="3"/>
    </row>
    <row r="1111" spans="4:16" x14ac:dyDescent="0.25">
      <c r="D1111" s="2"/>
      <c r="F1111" s="3"/>
      <c r="G1111" s="3"/>
      <c r="H1111" s="3"/>
      <c r="I1111" s="3"/>
      <c r="J1111" s="3"/>
      <c r="K1111" s="3"/>
      <c r="M1111" s="10"/>
      <c r="N1111" s="3"/>
      <c r="O1111" s="3"/>
      <c r="P1111" s="3"/>
    </row>
    <row r="1112" spans="4:16" x14ac:dyDescent="0.25">
      <c r="D1112" s="2"/>
      <c r="F1112" s="3"/>
      <c r="G1112" s="3"/>
      <c r="H1112" s="3"/>
      <c r="I1112" s="3"/>
      <c r="J1112" s="3"/>
      <c r="K1112" s="3"/>
      <c r="M1112" s="10"/>
      <c r="N1112" s="3"/>
      <c r="O1112" s="3"/>
      <c r="P1112" s="3"/>
    </row>
    <row r="1113" spans="4:16" x14ac:dyDescent="0.25">
      <c r="D1113" s="2"/>
      <c r="F1113" s="3"/>
      <c r="G1113" s="3"/>
      <c r="H1113" s="3"/>
      <c r="I1113" s="3"/>
      <c r="J1113" s="3"/>
      <c r="K1113" s="3"/>
      <c r="M1113" s="10"/>
      <c r="N1113" s="3"/>
      <c r="O1113" s="3"/>
      <c r="P1113" s="3"/>
    </row>
    <row r="1114" spans="4:16" x14ac:dyDescent="0.25">
      <c r="D1114" s="2"/>
      <c r="F1114" s="3"/>
      <c r="G1114" s="3"/>
      <c r="H1114" s="3"/>
      <c r="I1114" s="3"/>
      <c r="J1114" s="3"/>
      <c r="K1114" s="3"/>
      <c r="M1114" s="10"/>
      <c r="N1114" s="3"/>
      <c r="O1114" s="3"/>
      <c r="P1114" s="3"/>
    </row>
    <row r="1115" spans="4:16" x14ac:dyDescent="0.25">
      <c r="D1115" s="2"/>
      <c r="F1115" s="3"/>
      <c r="G1115" s="3"/>
      <c r="H1115" s="3"/>
      <c r="I1115" s="3"/>
      <c r="J1115" s="3"/>
      <c r="K1115" s="3"/>
      <c r="M1115" s="10"/>
      <c r="N1115" s="3"/>
      <c r="O1115" s="3"/>
      <c r="P1115" s="3"/>
    </row>
    <row r="1116" spans="4:16" x14ac:dyDescent="0.25">
      <c r="D1116" s="2"/>
      <c r="F1116" s="3"/>
      <c r="G1116" s="3"/>
      <c r="H1116" s="3"/>
      <c r="I1116" s="3"/>
      <c r="J1116" s="3"/>
      <c r="K1116" s="3"/>
      <c r="M1116" s="10"/>
      <c r="N1116" s="3"/>
      <c r="O1116" s="3"/>
      <c r="P1116" s="3"/>
    </row>
    <row r="1117" spans="4:16" x14ac:dyDescent="0.25">
      <c r="D1117" s="2"/>
      <c r="F1117" s="3"/>
      <c r="G1117" s="3"/>
      <c r="H1117" s="3"/>
      <c r="I1117" s="3"/>
      <c r="J1117" s="3"/>
      <c r="K1117" s="3"/>
      <c r="M1117" s="10"/>
      <c r="N1117" s="3"/>
      <c r="O1117" s="3"/>
      <c r="P1117" s="3"/>
    </row>
    <row r="1118" spans="4:16" x14ac:dyDescent="0.25">
      <c r="D1118" s="2"/>
      <c r="F1118" s="3"/>
      <c r="G1118" s="3"/>
      <c r="H1118" s="3"/>
      <c r="I1118" s="3"/>
      <c r="J1118" s="3"/>
      <c r="K1118" s="3"/>
      <c r="M1118" s="10"/>
      <c r="N1118" s="3"/>
      <c r="O1118" s="3"/>
      <c r="P1118" s="3"/>
    </row>
    <row r="1119" spans="4:16" x14ac:dyDescent="0.25">
      <c r="D1119" s="2"/>
      <c r="F1119" s="3"/>
      <c r="G1119" s="3"/>
      <c r="H1119" s="3"/>
      <c r="I1119" s="3"/>
      <c r="J1119" s="3"/>
      <c r="K1119" s="3"/>
      <c r="M1119" s="10"/>
      <c r="N1119" s="3"/>
      <c r="O1119" s="3"/>
      <c r="P1119" s="3"/>
    </row>
    <row r="1120" spans="4:16" x14ac:dyDescent="0.25">
      <c r="D1120" s="2"/>
      <c r="F1120" s="3"/>
      <c r="G1120" s="3"/>
      <c r="H1120" s="3"/>
      <c r="I1120" s="3"/>
      <c r="J1120" s="3"/>
      <c r="K1120" s="3"/>
      <c r="M1120" s="10"/>
      <c r="N1120" s="3"/>
      <c r="O1120" s="3"/>
      <c r="P1120" s="3"/>
    </row>
    <row r="1121" spans="4:16" x14ac:dyDescent="0.25">
      <c r="D1121" s="2"/>
      <c r="F1121" s="3"/>
      <c r="G1121" s="3"/>
      <c r="H1121" s="3"/>
      <c r="I1121" s="3"/>
      <c r="J1121" s="3"/>
      <c r="K1121" s="3"/>
      <c r="M1121" s="10"/>
      <c r="N1121" s="3"/>
      <c r="O1121" s="3"/>
      <c r="P1121" s="3"/>
    </row>
    <row r="1122" spans="4:16" x14ac:dyDescent="0.25">
      <c r="D1122" s="2"/>
      <c r="F1122" s="3"/>
      <c r="G1122" s="3"/>
      <c r="H1122" s="3"/>
      <c r="I1122" s="3"/>
      <c r="J1122" s="3"/>
      <c r="K1122" s="3"/>
      <c r="M1122" s="10"/>
      <c r="N1122" s="3"/>
      <c r="O1122" s="3"/>
      <c r="P1122" s="3"/>
    </row>
    <row r="1123" spans="4:16" x14ac:dyDescent="0.25">
      <c r="D1123" s="2"/>
      <c r="F1123" s="3"/>
      <c r="G1123" s="3"/>
      <c r="H1123" s="3"/>
      <c r="I1123" s="3"/>
      <c r="J1123" s="3"/>
      <c r="K1123" s="3"/>
      <c r="M1123" s="10"/>
      <c r="N1123" s="3"/>
      <c r="O1123" s="3"/>
      <c r="P1123" s="3"/>
    </row>
    <row r="1124" spans="4:16" x14ac:dyDescent="0.25">
      <c r="D1124" s="2"/>
      <c r="F1124" s="3"/>
      <c r="G1124" s="3"/>
      <c r="H1124" s="3"/>
      <c r="I1124" s="3"/>
      <c r="J1124" s="3"/>
      <c r="K1124" s="3"/>
      <c r="M1124" s="10"/>
      <c r="N1124" s="3"/>
      <c r="O1124" s="3"/>
      <c r="P1124" s="3"/>
    </row>
    <row r="1125" spans="4:16" x14ac:dyDescent="0.25">
      <c r="D1125" s="2"/>
      <c r="F1125" s="3"/>
      <c r="G1125" s="3"/>
      <c r="H1125" s="3"/>
      <c r="I1125" s="3"/>
      <c r="J1125" s="3"/>
      <c r="K1125" s="3"/>
      <c r="M1125" s="10"/>
      <c r="N1125" s="3"/>
      <c r="O1125" s="3"/>
      <c r="P1125" s="3"/>
    </row>
    <row r="1126" spans="4:16" x14ac:dyDescent="0.25">
      <c r="D1126" s="2"/>
      <c r="F1126" s="3"/>
      <c r="G1126" s="3"/>
      <c r="H1126" s="3"/>
      <c r="I1126" s="3"/>
      <c r="J1126" s="3"/>
      <c r="K1126" s="3"/>
      <c r="M1126" s="10"/>
      <c r="N1126" s="3"/>
      <c r="O1126" s="3"/>
      <c r="P1126" s="3"/>
    </row>
    <row r="1127" spans="4:16" x14ac:dyDescent="0.25">
      <c r="D1127" s="2"/>
      <c r="F1127" s="3"/>
      <c r="G1127" s="3"/>
      <c r="H1127" s="3"/>
      <c r="I1127" s="3"/>
      <c r="J1127" s="3"/>
      <c r="K1127" s="3"/>
      <c r="M1127" s="10"/>
      <c r="N1127" s="3"/>
      <c r="O1127" s="3"/>
      <c r="P1127" s="3"/>
    </row>
    <row r="1128" spans="4:16" x14ac:dyDescent="0.25">
      <c r="D1128" s="2"/>
      <c r="F1128" s="3"/>
      <c r="G1128" s="3"/>
      <c r="H1128" s="3"/>
      <c r="I1128" s="3"/>
      <c r="J1128" s="3"/>
      <c r="K1128" s="3"/>
      <c r="M1128" s="10"/>
      <c r="N1128" s="3"/>
      <c r="O1128" s="3"/>
      <c r="P1128" s="3"/>
    </row>
    <row r="1129" spans="4:16" x14ac:dyDescent="0.25">
      <c r="D1129" s="2"/>
      <c r="F1129" s="3"/>
      <c r="G1129" s="3"/>
      <c r="H1129" s="3"/>
      <c r="I1129" s="3"/>
      <c r="J1129" s="3"/>
      <c r="K1129" s="3"/>
      <c r="M1129" s="10"/>
      <c r="N1129" s="3"/>
      <c r="O1129" s="3"/>
      <c r="P1129" s="3"/>
    </row>
    <row r="1130" spans="4:16" x14ac:dyDescent="0.25">
      <c r="D1130" s="2"/>
      <c r="F1130" s="3"/>
      <c r="G1130" s="3"/>
      <c r="H1130" s="3"/>
      <c r="I1130" s="3"/>
      <c r="J1130" s="3"/>
      <c r="K1130" s="3"/>
      <c r="M1130" s="10"/>
      <c r="N1130" s="3"/>
      <c r="O1130" s="3"/>
      <c r="P1130" s="3"/>
    </row>
    <row r="1131" spans="4:16" x14ac:dyDescent="0.25">
      <c r="D1131" s="2"/>
      <c r="F1131" s="3"/>
      <c r="G1131" s="3"/>
      <c r="H1131" s="3"/>
      <c r="I1131" s="3"/>
      <c r="J1131" s="3"/>
      <c r="K1131" s="3"/>
      <c r="M1131" s="10"/>
      <c r="N1131" s="3"/>
      <c r="O1131" s="3"/>
      <c r="P1131" s="3"/>
    </row>
    <row r="1132" spans="4:16" x14ac:dyDescent="0.25">
      <c r="D1132" s="2"/>
      <c r="F1132" s="3"/>
      <c r="G1132" s="3"/>
      <c r="H1132" s="3"/>
      <c r="I1132" s="3"/>
      <c r="J1132" s="3"/>
      <c r="K1132" s="3"/>
      <c r="M1132" s="10"/>
      <c r="N1132" s="3"/>
      <c r="O1132" s="3"/>
      <c r="P1132" s="3"/>
    </row>
    <row r="1133" spans="4:16" x14ac:dyDescent="0.25">
      <c r="D1133" s="2"/>
      <c r="F1133" s="3"/>
      <c r="G1133" s="3"/>
      <c r="H1133" s="3"/>
      <c r="I1133" s="3"/>
      <c r="J1133" s="3"/>
      <c r="K1133" s="3"/>
      <c r="M1133" s="10"/>
      <c r="N1133" s="3"/>
      <c r="O1133" s="3"/>
      <c r="P1133" s="3"/>
    </row>
    <row r="1134" spans="4:16" x14ac:dyDescent="0.25">
      <c r="D1134" s="2"/>
      <c r="F1134" s="3"/>
      <c r="G1134" s="3"/>
      <c r="H1134" s="3"/>
      <c r="I1134" s="3"/>
      <c r="J1134" s="3"/>
      <c r="K1134" s="3"/>
      <c r="M1134" s="10"/>
      <c r="N1134" s="3"/>
      <c r="O1134" s="3"/>
      <c r="P1134" s="3"/>
    </row>
    <row r="1135" spans="4:16" x14ac:dyDescent="0.25">
      <c r="D1135" s="2"/>
      <c r="F1135" s="3"/>
      <c r="G1135" s="3"/>
      <c r="H1135" s="3"/>
      <c r="I1135" s="3"/>
      <c r="J1135" s="3"/>
      <c r="K1135" s="3"/>
      <c r="M1135" s="10"/>
      <c r="N1135" s="3"/>
      <c r="O1135" s="3"/>
      <c r="P1135" s="3"/>
    </row>
    <row r="1136" spans="4:16" x14ac:dyDescent="0.25">
      <c r="D1136" s="2"/>
      <c r="F1136" s="3"/>
      <c r="G1136" s="3"/>
      <c r="H1136" s="3"/>
      <c r="I1136" s="3"/>
      <c r="J1136" s="3"/>
      <c r="K1136" s="3"/>
      <c r="M1136" s="10"/>
      <c r="N1136" s="3"/>
      <c r="O1136" s="3"/>
      <c r="P1136" s="3"/>
    </row>
    <row r="1137" spans="4:16" x14ac:dyDescent="0.25">
      <c r="D1137" s="2"/>
      <c r="F1137" s="3"/>
      <c r="G1137" s="3"/>
      <c r="H1137" s="3"/>
      <c r="I1137" s="3"/>
      <c r="J1137" s="3"/>
      <c r="K1137" s="3"/>
      <c r="M1137" s="10"/>
      <c r="N1137" s="3"/>
      <c r="O1137" s="3"/>
      <c r="P1137" s="3"/>
    </row>
    <row r="1138" spans="4:16" x14ac:dyDescent="0.25">
      <c r="D1138" s="2"/>
      <c r="F1138" s="3"/>
      <c r="G1138" s="3"/>
      <c r="H1138" s="3"/>
      <c r="I1138" s="3"/>
      <c r="J1138" s="3"/>
      <c r="K1138" s="3"/>
      <c r="M1138" s="10"/>
      <c r="N1138" s="3"/>
      <c r="O1138" s="3"/>
      <c r="P1138" s="3"/>
    </row>
    <row r="1139" spans="4:16" x14ac:dyDescent="0.25">
      <c r="D1139" s="2"/>
      <c r="F1139" s="3"/>
      <c r="G1139" s="3"/>
      <c r="H1139" s="3"/>
      <c r="I1139" s="3"/>
      <c r="J1139" s="3"/>
      <c r="K1139" s="3"/>
      <c r="M1139" s="10"/>
      <c r="N1139" s="3"/>
      <c r="O1139" s="3"/>
      <c r="P1139" s="3"/>
    </row>
    <row r="1140" spans="4:16" x14ac:dyDescent="0.25">
      <c r="D1140" s="2"/>
      <c r="F1140" s="3"/>
      <c r="G1140" s="3"/>
      <c r="H1140" s="3"/>
      <c r="I1140" s="3"/>
      <c r="J1140" s="3"/>
      <c r="K1140" s="3"/>
      <c r="M1140" s="10"/>
      <c r="N1140" s="3"/>
      <c r="O1140" s="3"/>
      <c r="P1140" s="3"/>
    </row>
    <row r="1141" spans="4:16" x14ac:dyDescent="0.25">
      <c r="D1141" s="2"/>
      <c r="F1141" s="3"/>
      <c r="G1141" s="3"/>
      <c r="H1141" s="3"/>
      <c r="I1141" s="3"/>
      <c r="J1141" s="3"/>
      <c r="K1141" s="3"/>
      <c r="M1141" s="10"/>
      <c r="N1141" s="3"/>
      <c r="O1141" s="3"/>
      <c r="P1141" s="3"/>
    </row>
    <row r="1142" spans="4:16" x14ac:dyDescent="0.25">
      <c r="D1142" s="2"/>
      <c r="F1142" s="3"/>
      <c r="G1142" s="3"/>
      <c r="H1142" s="3"/>
      <c r="I1142" s="3"/>
      <c r="J1142" s="3"/>
      <c r="K1142" s="3"/>
      <c r="M1142" s="10"/>
      <c r="N1142" s="3"/>
      <c r="O1142" s="3"/>
      <c r="P1142" s="3"/>
    </row>
    <row r="1143" spans="4:16" x14ac:dyDescent="0.25">
      <c r="D1143" s="2"/>
      <c r="F1143" s="3"/>
      <c r="G1143" s="3"/>
      <c r="H1143" s="3"/>
      <c r="I1143" s="3"/>
      <c r="J1143" s="3"/>
      <c r="K1143" s="3"/>
      <c r="M1143" s="10"/>
      <c r="N1143" s="3"/>
      <c r="O1143" s="3"/>
      <c r="P1143" s="3"/>
    </row>
    <row r="1144" spans="4:16" x14ac:dyDescent="0.25">
      <c r="D1144" s="2"/>
      <c r="F1144" s="3"/>
      <c r="G1144" s="3"/>
      <c r="H1144" s="3"/>
      <c r="I1144" s="3"/>
      <c r="J1144" s="3"/>
      <c r="K1144" s="3"/>
      <c r="M1144" s="10"/>
      <c r="N1144" s="3"/>
      <c r="O1144" s="3"/>
      <c r="P1144" s="3"/>
    </row>
    <row r="1145" spans="4:16" x14ac:dyDescent="0.25">
      <c r="D1145" s="2"/>
      <c r="F1145" s="3"/>
      <c r="G1145" s="3"/>
      <c r="H1145" s="3"/>
      <c r="I1145" s="3"/>
      <c r="J1145" s="3"/>
      <c r="K1145" s="3"/>
      <c r="M1145" s="10"/>
      <c r="N1145" s="3"/>
      <c r="O1145" s="3"/>
      <c r="P1145" s="3"/>
    </row>
    <row r="1146" spans="4:16" x14ac:dyDescent="0.25">
      <c r="D1146" s="2"/>
      <c r="F1146" s="3"/>
      <c r="G1146" s="3"/>
      <c r="H1146" s="3"/>
      <c r="I1146" s="3"/>
      <c r="J1146" s="3"/>
      <c r="K1146" s="3"/>
      <c r="M1146" s="10"/>
      <c r="N1146" s="3"/>
      <c r="O1146" s="3"/>
      <c r="P1146" s="3"/>
    </row>
    <row r="1147" spans="4:16" x14ac:dyDescent="0.25">
      <c r="D1147" s="2"/>
      <c r="F1147" s="3"/>
      <c r="G1147" s="3"/>
      <c r="H1147" s="3"/>
      <c r="I1147" s="3"/>
      <c r="J1147" s="3"/>
      <c r="K1147" s="3"/>
      <c r="M1147" s="10"/>
      <c r="N1147" s="3"/>
      <c r="O1147" s="3"/>
      <c r="P1147" s="3"/>
    </row>
    <row r="1148" spans="4:16" x14ac:dyDescent="0.25">
      <c r="D1148" s="2"/>
      <c r="F1148" s="3"/>
      <c r="G1148" s="3"/>
      <c r="H1148" s="3"/>
      <c r="I1148" s="3"/>
      <c r="J1148" s="3"/>
      <c r="K1148" s="3"/>
      <c r="M1148" s="10"/>
      <c r="N1148" s="3"/>
      <c r="O1148" s="3"/>
      <c r="P1148" s="3"/>
    </row>
    <row r="1149" spans="4:16" x14ac:dyDescent="0.25">
      <c r="D1149" s="2"/>
      <c r="F1149" s="3"/>
      <c r="G1149" s="3"/>
      <c r="H1149" s="3"/>
      <c r="I1149" s="3"/>
      <c r="J1149" s="3"/>
      <c r="K1149" s="3"/>
      <c r="M1149" s="10"/>
      <c r="N1149" s="3"/>
      <c r="O1149" s="3"/>
      <c r="P1149" s="3"/>
    </row>
    <row r="1150" spans="4:16" x14ac:dyDescent="0.25">
      <c r="D1150" s="2"/>
      <c r="F1150" s="3"/>
      <c r="G1150" s="3"/>
      <c r="H1150" s="3"/>
      <c r="I1150" s="3"/>
      <c r="J1150" s="3"/>
      <c r="K1150" s="3"/>
      <c r="M1150" s="10"/>
      <c r="N1150" s="3"/>
      <c r="O1150" s="3"/>
      <c r="P1150" s="3"/>
    </row>
    <row r="1151" spans="4:16" x14ac:dyDescent="0.25">
      <c r="D1151" s="2"/>
      <c r="F1151" s="3"/>
      <c r="G1151" s="3"/>
      <c r="H1151" s="3"/>
      <c r="I1151" s="3"/>
      <c r="J1151" s="3"/>
      <c r="K1151" s="3"/>
      <c r="M1151" s="10"/>
      <c r="N1151" s="3"/>
      <c r="O1151" s="3"/>
      <c r="P1151" s="3"/>
    </row>
    <row r="1152" spans="4:16" x14ac:dyDescent="0.25">
      <c r="D1152" s="2"/>
      <c r="F1152" s="3"/>
      <c r="G1152" s="3"/>
      <c r="H1152" s="3"/>
      <c r="I1152" s="3"/>
      <c r="J1152" s="3"/>
      <c r="K1152" s="3"/>
      <c r="M1152" s="10"/>
      <c r="N1152" s="3"/>
      <c r="O1152" s="3"/>
      <c r="P1152" s="3"/>
    </row>
    <row r="1153" spans="4:16" x14ac:dyDescent="0.25">
      <c r="D1153" s="2"/>
      <c r="F1153" s="3"/>
      <c r="G1153" s="3"/>
      <c r="H1153" s="3"/>
      <c r="I1153" s="3"/>
      <c r="J1153" s="3"/>
      <c r="K1153" s="3"/>
      <c r="M1153" s="10"/>
      <c r="N1153" s="3"/>
      <c r="O1153" s="3"/>
      <c r="P1153" s="3"/>
    </row>
    <row r="1154" spans="4:16" x14ac:dyDescent="0.25">
      <c r="D1154" s="2"/>
      <c r="F1154" s="3"/>
      <c r="G1154" s="3"/>
      <c r="H1154" s="3"/>
      <c r="I1154" s="3"/>
      <c r="J1154" s="3"/>
      <c r="K1154" s="3"/>
      <c r="M1154" s="10"/>
      <c r="N1154" s="3"/>
      <c r="O1154" s="3"/>
      <c r="P1154" s="3"/>
    </row>
    <row r="1155" spans="4:16" x14ac:dyDescent="0.25">
      <c r="D1155" s="2"/>
      <c r="F1155" s="3"/>
      <c r="G1155" s="3"/>
      <c r="H1155" s="3"/>
      <c r="I1155" s="3"/>
      <c r="J1155" s="3"/>
      <c r="K1155" s="3"/>
      <c r="M1155" s="10"/>
      <c r="N1155" s="3"/>
      <c r="O1155" s="3"/>
      <c r="P1155" s="3"/>
    </row>
    <row r="1156" spans="4:16" x14ac:dyDescent="0.25">
      <c r="D1156" s="2"/>
      <c r="F1156" s="3"/>
      <c r="G1156" s="3"/>
      <c r="H1156" s="3"/>
      <c r="I1156" s="3"/>
      <c r="J1156" s="3"/>
      <c r="K1156" s="3"/>
      <c r="M1156" s="10"/>
      <c r="N1156" s="3"/>
      <c r="O1156" s="3"/>
      <c r="P1156" s="3"/>
    </row>
    <row r="1157" spans="4:16" x14ac:dyDescent="0.25">
      <c r="D1157" s="2"/>
      <c r="F1157" s="3"/>
      <c r="G1157" s="3"/>
      <c r="H1157" s="3"/>
      <c r="I1157" s="3"/>
      <c r="J1157" s="3"/>
      <c r="K1157" s="3"/>
      <c r="M1157" s="10"/>
      <c r="N1157" s="3"/>
      <c r="O1157" s="3"/>
      <c r="P1157" s="3"/>
    </row>
    <row r="1158" spans="4:16" x14ac:dyDescent="0.25">
      <c r="D1158" s="2"/>
      <c r="F1158" s="3"/>
      <c r="G1158" s="3"/>
      <c r="H1158" s="3"/>
      <c r="I1158" s="3"/>
      <c r="J1158" s="3"/>
      <c r="K1158" s="3"/>
      <c r="M1158" s="10"/>
      <c r="N1158" s="3"/>
      <c r="O1158" s="3"/>
      <c r="P1158" s="3"/>
    </row>
    <row r="1159" spans="4:16" x14ac:dyDescent="0.25">
      <c r="D1159" s="2"/>
      <c r="F1159" s="3"/>
      <c r="G1159" s="3"/>
      <c r="H1159" s="3"/>
      <c r="I1159" s="3"/>
      <c r="J1159" s="3"/>
      <c r="K1159" s="3"/>
      <c r="M1159" s="10"/>
      <c r="N1159" s="3"/>
      <c r="O1159" s="3"/>
      <c r="P1159" s="3"/>
    </row>
    <row r="1160" spans="4:16" x14ac:dyDescent="0.25">
      <c r="D1160" s="2"/>
      <c r="F1160" s="3"/>
      <c r="G1160" s="3"/>
      <c r="H1160" s="3"/>
      <c r="I1160" s="3"/>
      <c r="J1160" s="3"/>
      <c r="K1160" s="3"/>
      <c r="M1160" s="10"/>
      <c r="N1160" s="3"/>
      <c r="O1160" s="3"/>
      <c r="P1160" s="3"/>
    </row>
    <row r="1161" spans="4:16" x14ac:dyDescent="0.25">
      <c r="D1161" s="2"/>
      <c r="F1161" s="3"/>
      <c r="G1161" s="3"/>
      <c r="H1161" s="3"/>
      <c r="I1161" s="3"/>
      <c r="J1161" s="3"/>
      <c r="K1161" s="3"/>
      <c r="M1161" s="10"/>
      <c r="N1161" s="3"/>
      <c r="O1161" s="3"/>
      <c r="P1161" s="3"/>
    </row>
    <row r="1162" spans="4:16" x14ac:dyDescent="0.25">
      <c r="D1162" s="2"/>
      <c r="F1162" s="3"/>
      <c r="G1162" s="3"/>
      <c r="H1162" s="3"/>
      <c r="I1162" s="3"/>
      <c r="J1162" s="3"/>
      <c r="K1162" s="3"/>
      <c r="M1162" s="10"/>
      <c r="N1162" s="3"/>
      <c r="O1162" s="3"/>
      <c r="P1162" s="3"/>
    </row>
    <row r="1163" spans="4:16" x14ac:dyDescent="0.25">
      <c r="D1163" s="2"/>
      <c r="F1163" s="3"/>
      <c r="G1163" s="3"/>
      <c r="H1163" s="3"/>
      <c r="I1163" s="3"/>
      <c r="J1163" s="3"/>
      <c r="K1163" s="3"/>
      <c r="M1163" s="10"/>
      <c r="N1163" s="3"/>
      <c r="O1163" s="3"/>
      <c r="P1163" s="3"/>
    </row>
    <row r="1164" spans="4:16" x14ac:dyDescent="0.25">
      <c r="D1164" s="2"/>
      <c r="F1164" s="3"/>
      <c r="G1164" s="3"/>
      <c r="H1164" s="3"/>
      <c r="I1164" s="3"/>
      <c r="J1164" s="3"/>
      <c r="K1164" s="3"/>
      <c r="M1164" s="10"/>
      <c r="N1164" s="3"/>
      <c r="O1164" s="3"/>
      <c r="P1164" s="3"/>
    </row>
    <row r="1165" spans="4:16" x14ac:dyDescent="0.25">
      <c r="D1165" s="2"/>
      <c r="F1165" s="3"/>
      <c r="G1165" s="3"/>
      <c r="H1165" s="3"/>
      <c r="I1165" s="3"/>
      <c r="J1165" s="3"/>
      <c r="K1165" s="3"/>
      <c r="M1165" s="10"/>
      <c r="N1165" s="3"/>
      <c r="O1165" s="3"/>
      <c r="P1165" s="3"/>
    </row>
    <row r="1166" spans="4:16" x14ac:dyDescent="0.25">
      <c r="D1166" s="2"/>
      <c r="F1166" s="3"/>
      <c r="G1166" s="3"/>
      <c r="H1166" s="3"/>
      <c r="I1166" s="3"/>
      <c r="J1166" s="3"/>
      <c r="K1166" s="3"/>
      <c r="M1166" s="10"/>
      <c r="N1166" s="3"/>
      <c r="O1166" s="3"/>
      <c r="P1166" s="3"/>
    </row>
    <row r="1167" spans="4:16" x14ac:dyDescent="0.25">
      <c r="D1167" s="2"/>
      <c r="F1167" s="3"/>
      <c r="G1167" s="3"/>
      <c r="H1167" s="3"/>
      <c r="I1167" s="3"/>
      <c r="J1167" s="3"/>
      <c r="K1167" s="3"/>
      <c r="M1167" s="10"/>
      <c r="N1167" s="3"/>
      <c r="O1167" s="3"/>
      <c r="P1167" s="3"/>
    </row>
    <row r="1168" spans="4:16" x14ac:dyDescent="0.25">
      <c r="D1168" s="2"/>
      <c r="F1168" s="3"/>
      <c r="G1168" s="3"/>
      <c r="H1168" s="3"/>
      <c r="I1168" s="3"/>
      <c r="J1168" s="3"/>
      <c r="K1168" s="3"/>
      <c r="M1168" s="10"/>
      <c r="N1168" s="3"/>
      <c r="O1168" s="3"/>
      <c r="P1168" s="3"/>
    </row>
    <row r="1169" spans="4:16" x14ac:dyDescent="0.25">
      <c r="D1169" s="2"/>
      <c r="F1169" s="3"/>
      <c r="G1169" s="3"/>
      <c r="H1169" s="3"/>
      <c r="I1169" s="3"/>
      <c r="J1169" s="3"/>
      <c r="K1169" s="3"/>
      <c r="M1169" s="10"/>
      <c r="N1169" s="3"/>
      <c r="O1169" s="3"/>
      <c r="P1169" s="3"/>
    </row>
    <row r="1170" spans="4:16" x14ac:dyDescent="0.25">
      <c r="D1170" s="2"/>
      <c r="F1170" s="3"/>
      <c r="G1170" s="3"/>
      <c r="H1170" s="3"/>
      <c r="I1170" s="3"/>
      <c r="J1170" s="3"/>
      <c r="K1170" s="3"/>
      <c r="M1170" s="10"/>
      <c r="N1170" s="3"/>
      <c r="O1170" s="3"/>
      <c r="P1170" s="3"/>
    </row>
    <row r="1171" spans="4:16" x14ac:dyDescent="0.25">
      <c r="D1171" s="2"/>
      <c r="F1171" s="3"/>
      <c r="G1171" s="3"/>
      <c r="H1171" s="3"/>
      <c r="I1171" s="3"/>
      <c r="J1171" s="3"/>
      <c r="K1171" s="3"/>
      <c r="M1171" s="10"/>
      <c r="N1171" s="3"/>
      <c r="O1171" s="3"/>
      <c r="P1171" s="3"/>
    </row>
    <row r="1172" spans="4:16" x14ac:dyDescent="0.25">
      <c r="D1172" s="2"/>
      <c r="F1172" s="3"/>
      <c r="G1172" s="3"/>
      <c r="H1172" s="3"/>
      <c r="I1172" s="3"/>
      <c r="J1172" s="3"/>
      <c r="K1172" s="3"/>
      <c r="M1172" s="10"/>
      <c r="N1172" s="3"/>
      <c r="O1172" s="3"/>
      <c r="P1172" s="3"/>
    </row>
    <row r="1173" spans="4:16" x14ac:dyDescent="0.25">
      <c r="D1173" s="2"/>
      <c r="F1173" s="3"/>
      <c r="G1173" s="3"/>
      <c r="H1173" s="3"/>
      <c r="I1173" s="3"/>
      <c r="J1173" s="3"/>
      <c r="K1173" s="3"/>
      <c r="M1173" s="10"/>
      <c r="N1173" s="3"/>
      <c r="O1173" s="3"/>
      <c r="P1173" s="3"/>
    </row>
    <row r="1174" spans="4:16" x14ac:dyDescent="0.25">
      <c r="D1174" s="2"/>
      <c r="F1174" s="3"/>
      <c r="G1174" s="3"/>
      <c r="H1174" s="3"/>
      <c r="I1174" s="3"/>
      <c r="J1174" s="3"/>
      <c r="K1174" s="3"/>
      <c r="M1174" s="10"/>
      <c r="N1174" s="3"/>
      <c r="O1174" s="3"/>
      <c r="P1174" s="3"/>
    </row>
    <row r="1175" spans="4:16" x14ac:dyDescent="0.25">
      <c r="D1175" s="2"/>
      <c r="F1175" s="3"/>
      <c r="G1175" s="3"/>
      <c r="H1175" s="3"/>
      <c r="I1175" s="3"/>
      <c r="J1175" s="3"/>
      <c r="K1175" s="3"/>
      <c r="M1175" s="10"/>
      <c r="N1175" s="3"/>
      <c r="O1175" s="3"/>
      <c r="P1175" s="3"/>
    </row>
    <row r="1176" spans="4:16" x14ac:dyDescent="0.25">
      <c r="D1176" s="2"/>
      <c r="F1176" s="3"/>
      <c r="G1176" s="3"/>
      <c r="H1176" s="3"/>
      <c r="I1176" s="3"/>
      <c r="J1176" s="3"/>
      <c r="K1176" s="3"/>
      <c r="M1176" s="10"/>
      <c r="N1176" s="3"/>
      <c r="O1176" s="3"/>
      <c r="P1176" s="3"/>
    </row>
    <row r="1177" spans="4:16" x14ac:dyDescent="0.25">
      <c r="D1177" s="2"/>
      <c r="F1177" s="3"/>
      <c r="G1177" s="3"/>
      <c r="H1177" s="3"/>
      <c r="I1177" s="3"/>
      <c r="J1177" s="3"/>
      <c r="K1177" s="3"/>
      <c r="M1177" s="10"/>
      <c r="N1177" s="3"/>
      <c r="O1177" s="3"/>
      <c r="P1177" s="3"/>
    </row>
    <row r="1178" spans="4:16" x14ac:dyDescent="0.25">
      <c r="D1178" s="2"/>
      <c r="F1178" s="3"/>
      <c r="G1178" s="3"/>
      <c r="H1178" s="3"/>
      <c r="I1178" s="3"/>
      <c r="J1178" s="3"/>
      <c r="K1178" s="3"/>
      <c r="M1178" s="10"/>
      <c r="N1178" s="3"/>
      <c r="O1178" s="3"/>
      <c r="P1178" s="3"/>
    </row>
    <row r="1179" spans="4:16" x14ac:dyDescent="0.25">
      <c r="D1179" s="2"/>
      <c r="F1179" s="3"/>
      <c r="G1179" s="3"/>
      <c r="H1179" s="3"/>
      <c r="I1179" s="3"/>
      <c r="J1179" s="3"/>
      <c r="K1179" s="3"/>
      <c r="M1179" s="10"/>
      <c r="N1179" s="3"/>
      <c r="O1179" s="3"/>
      <c r="P1179" s="3"/>
    </row>
    <row r="1180" spans="4:16" x14ac:dyDescent="0.25">
      <c r="D1180" s="2"/>
      <c r="F1180" s="3"/>
      <c r="G1180" s="3"/>
      <c r="H1180" s="3"/>
      <c r="I1180" s="3"/>
      <c r="J1180" s="3"/>
      <c r="K1180" s="3"/>
      <c r="M1180" s="10"/>
      <c r="N1180" s="3"/>
      <c r="O1180" s="3"/>
      <c r="P1180" s="3"/>
    </row>
    <row r="1181" spans="4:16" x14ac:dyDescent="0.25">
      <c r="D1181" s="2"/>
      <c r="F1181" s="3"/>
      <c r="G1181" s="3"/>
      <c r="H1181" s="3"/>
      <c r="I1181" s="3"/>
      <c r="J1181" s="3"/>
      <c r="K1181" s="3"/>
      <c r="M1181" s="10"/>
      <c r="N1181" s="3"/>
      <c r="O1181" s="3"/>
      <c r="P1181" s="3"/>
    </row>
    <row r="1182" spans="4:16" x14ac:dyDescent="0.25">
      <c r="D1182" s="2"/>
      <c r="F1182" s="3"/>
      <c r="G1182" s="3"/>
      <c r="H1182" s="3"/>
      <c r="I1182" s="3"/>
      <c r="J1182" s="3"/>
      <c r="K1182" s="3"/>
      <c r="M1182" s="10"/>
      <c r="N1182" s="3"/>
      <c r="O1182" s="3"/>
      <c r="P1182" s="3"/>
    </row>
    <row r="1183" spans="4:16" x14ac:dyDescent="0.25">
      <c r="D1183" s="2"/>
      <c r="F1183" s="3"/>
      <c r="G1183" s="3"/>
      <c r="H1183" s="3"/>
      <c r="I1183" s="3"/>
      <c r="J1183" s="3"/>
      <c r="K1183" s="3"/>
      <c r="M1183" s="10"/>
      <c r="N1183" s="3"/>
      <c r="O1183" s="3"/>
      <c r="P1183" s="3"/>
    </row>
    <row r="1184" spans="4:16" x14ac:dyDescent="0.25">
      <c r="D1184" s="2"/>
      <c r="F1184" s="3"/>
      <c r="G1184" s="3"/>
      <c r="H1184" s="3"/>
      <c r="I1184" s="3"/>
      <c r="J1184" s="3"/>
      <c r="K1184" s="3"/>
      <c r="M1184" s="10"/>
      <c r="N1184" s="3"/>
      <c r="O1184" s="3"/>
      <c r="P1184" s="3"/>
    </row>
    <row r="1185" spans="4:16" x14ac:dyDescent="0.25">
      <c r="D1185" s="2"/>
      <c r="F1185" s="3"/>
      <c r="G1185" s="3"/>
      <c r="H1185" s="3"/>
      <c r="I1185" s="3"/>
      <c r="J1185" s="3"/>
      <c r="K1185" s="3"/>
      <c r="M1185" s="10"/>
      <c r="N1185" s="3"/>
      <c r="O1185" s="3"/>
      <c r="P1185" s="3"/>
    </row>
    <row r="1186" spans="4:16" x14ac:dyDescent="0.25">
      <c r="D1186" s="2"/>
      <c r="F1186" s="3"/>
      <c r="G1186" s="3"/>
      <c r="H1186" s="3"/>
      <c r="I1186" s="3"/>
      <c r="J1186" s="3"/>
      <c r="K1186" s="3"/>
      <c r="M1186" s="10"/>
      <c r="N1186" s="3"/>
      <c r="O1186" s="3"/>
      <c r="P1186" s="3"/>
    </row>
    <row r="1187" spans="4:16" x14ac:dyDescent="0.25">
      <c r="D1187" s="2"/>
      <c r="F1187" s="3"/>
      <c r="G1187" s="3"/>
      <c r="H1187" s="3"/>
      <c r="I1187" s="3"/>
      <c r="J1187" s="3"/>
      <c r="K1187" s="3"/>
      <c r="M1187" s="10"/>
      <c r="N1187" s="3"/>
      <c r="O1187" s="3"/>
      <c r="P1187" s="3"/>
    </row>
    <row r="1188" spans="4:16" x14ac:dyDescent="0.25">
      <c r="D1188" s="2"/>
      <c r="F1188" s="3"/>
      <c r="G1188" s="3"/>
      <c r="H1188" s="3"/>
      <c r="I1188" s="3"/>
      <c r="J1188" s="3"/>
      <c r="K1188" s="3"/>
      <c r="M1188" s="10"/>
      <c r="N1188" s="3"/>
      <c r="O1188" s="3"/>
      <c r="P1188" s="3"/>
    </row>
    <row r="1189" spans="4:16" x14ac:dyDescent="0.25">
      <c r="D1189" s="2"/>
      <c r="F1189" s="3"/>
      <c r="G1189" s="3"/>
      <c r="H1189" s="3"/>
      <c r="I1189" s="3"/>
      <c r="J1189" s="3"/>
      <c r="K1189" s="3"/>
      <c r="M1189" s="10"/>
      <c r="N1189" s="3"/>
      <c r="O1189" s="3"/>
      <c r="P1189" s="3"/>
    </row>
    <row r="1190" spans="4:16" x14ac:dyDescent="0.25">
      <c r="D1190" s="2"/>
      <c r="F1190" s="3"/>
      <c r="G1190" s="3"/>
      <c r="H1190" s="3"/>
      <c r="I1190" s="3"/>
      <c r="J1190" s="3"/>
      <c r="K1190" s="3"/>
      <c r="M1190" s="10"/>
      <c r="N1190" s="3"/>
      <c r="O1190" s="3"/>
      <c r="P1190" s="3"/>
    </row>
    <row r="1191" spans="4:16" x14ac:dyDescent="0.25">
      <c r="D1191" s="2"/>
      <c r="F1191" s="3"/>
      <c r="G1191" s="3"/>
      <c r="H1191" s="3"/>
      <c r="I1191" s="3"/>
      <c r="J1191" s="3"/>
      <c r="K1191" s="3"/>
      <c r="M1191" s="10"/>
      <c r="N1191" s="3"/>
      <c r="O1191" s="3"/>
      <c r="P1191" s="3"/>
    </row>
    <row r="1192" spans="4:16" x14ac:dyDescent="0.25">
      <c r="D1192" s="2"/>
      <c r="F1192" s="3"/>
      <c r="G1192" s="3"/>
      <c r="H1192" s="3"/>
      <c r="I1192" s="3"/>
      <c r="J1192" s="3"/>
      <c r="K1192" s="3"/>
      <c r="M1192" s="10"/>
      <c r="N1192" s="3"/>
      <c r="O1192" s="3"/>
      <c r="P1192" s="3"/>
    </row>
    <row r="1193" spans="4:16" x14ac:dyDescent="0.25">
      <c r="D1193" s="2"/>
      <c r="F1193" s="3"/>
      <c r="G1193" s="3"/>
      <c r="H1193" s="3"/>
      <c r="I1193" s="3"/>
      <c r="J1193" s="3"/>
      <c r="K1193" s="3"/>
      <c r="M1193" s="10"/>
      <c r="N1193" s="3"/>
      <c r="O1193" s="3"/>
      <c r="P1193" s="3"/>
    </row>
    <row r="1194" spans="4:16" x14ac:dyDescent="0.25">
      <c r="D1194" s="2"/>
      <c r="F1194" s="3"/>
      <c r="G1194" s="3"/>
      <c r="H1194" s="3"/>
      <c r="I1194" s="3"/>
      <c r="J1194" s="3"/>
      <c r="K1194" s="3"/>
      <c r="M1194" s="10"/>
      <c r="N1194" s="3"/>
      <c r="O1194" s="3"/>
      <c r="P1194" s="3"/>
    </row>
    <row r="1195" spans="4:16" x14ac:dyDescent="0.25">
      <c r="D1195" s="2"/>
      <c r="F1195" s="3"/>
      <c r="G1195" s="3"/>
      <c r="H1195" s="3"/>
      <c r="I1195" s="3"/>
      <c r="J1195" s="3"/>
      <c r="K1195" s="3"/>
      <c r="M1195" s="10"/>
      <c r="N1195" s="3"/>
      <c r="O1195" s="3"/>
      <c r="P1195" s="3"/>
    </row>
    <row r="1196" spans="4:16" x14ac:dyDescent="0.25">
      <c r="D1196" s="2"/>
      <c r="F1196" s="3"/>
      <c r="G1196" s="3"/>
      <c r="H1196" s="3"/>
      <c r="I1196" s="3"/>
      <c r="J1196" s="3"/>
      <c r="K1196" s="3"/>
      <c r="M1196" s="10"/>
      <c r="N1196" s="3"/>
      <c r="O1196" s="3"/>
      <c r="P1196" s="3"/>
    </row>
    <row r="1197" spans="4:16" x14ac:dyDescent="0.25">
      <c r="D1197" s="2"/>
      <c r="F1197" s="3"/>
      <c r="G1197" s="3"/>
      <c r="H1197" s="3"/>
      <c r="I1197" s="3"/>
      <c r="J1197" s="3"/>
      <c r="K1197" s="3"/>
      <c r="M1197" s="10"/>
      <c r="N1197" s="3"/>
      <c r="O1197" s="3"/>
      <c r="P1197" s="3"/>
    </row>
    <row r="1198" spans="4:16" x14ac:dyDescent="0.25">
      <c r="D1198" s="2"/>
      <c r="F1198" s="3"/>
      <c r="G1198" s="3"/>
      <c r="H1198" s="3"/>
      <c r="I1198" s="3"/>
      <c r="J1198" s="3"/>
      <c r="K1198" s="3"/>
      <c r="M1198" s="10"/>
      <c r="N1198" s="3"/>
      <c r="O1198" s="3"/>
      <c r="P1198" s="3"/>
    </row>
    <row r="1199" spans="4:16" x14ac:dyDescent="0.25">
      <c r="D1199" s="2"/>
      <c r="F1199" s="3"/>
      <c r="G1199" s="3"/>
      <c r="H1199" s="3"/>
      <c r="I1199" s="3"/>
      <c r="J1199" s="3"/>
      <c r="K1199" s="3"/>
      <c r="M1199" s="10"/>
      <c r="N1199" s="3"/>
      <c r="O1199" s="3"/>
      <c r="P1199" s="3"/>
    </row>
    <row r="1200" spans="4:16" x14ac:dyDescent="0.25">
      <c r="D1200" s="2"/>
      <c r="F1200" s="3"/>
      <c r="G1200" s="3"/>
      <c r="H1200" s="3"/>
      <c r="I1200" s="3"/>
      <c r="J1200" s="3"/>
      <c r="K1200" s="3"/>
      <c r="M1200" s="10"/>
      <c r="N1200" s="3"/>
      <c r="O1200" s="3"/>
      <c r="P1200" s="3"/>
    </row>
    <row r="1201" spans="4:16" x14ac:dyDescent="0.25">
      <c r="D1201" s="2"/>
      <c r="F1201" s="3"/>
      <c r="G1201" s="3"/>
      <c r="H1201" s="3"/>
      <c r="I1201" s="3"/>
      <c r="J1201" s="3"/>
      <c r="K1201" s="3"/>
      <c r="M1201" s="10"/>
      <c r="N1201" s="3"/>
      <c r="O1201" s="3"/>
      <c r="P1201" s="3"/>
    </row>
    <row r="1202" spans="4:16" x14ac:dyDescent="0.25">
      <c r="D1202" s="2"/>
      <c r="F1202" s="3"/>
      <c r="G1202" s="3"/>
      <c r="H1202" s="3"/>
      <c r="I1202" s="3"/>
      <c r="J1202" s="3"/>
      <c r="K1202" s="3"/>
      <c r="M1202" s="10"/>
      <c r="N1202" s="3"/>
      <c r="O1202" s="3"/>
      <c r="P1202" s="3"/>
    </row>
    <row r="1203" spans="4:16" x14ac:dyDescent="0.25">
      <c r="D1203" s="2"/>
      <c r="F1203" s="3"/>
      <c r="G1203" s="3"/>
      <c r="H1203" s="3"/>
      <c r="I1203" s="3"/>
      <c r="J1203" s="3"/>
      <c r="K1203" s="3"/>
      <c r="M1203" s="10"/>
      <c r="N1203" s="3"/>
      <c r="O1203" s="3"/>
      <c r="P1203" s="3"/>
    </row>
    <row r="1204" spans="4:16" x14ac:dyDescent="0.25">
      <c r="D1204" s="2"/>
      <c r="F1204" s="3"/>
      <c r="G1204" s="3"/>
      <c r="H1204" s="3"/>
      <c r="I1204" s="3"/>
      <c r="J1204" s="3"/>
      <c r="K1204" s="3"/>
      <c r="M1204" s="10"/>
      <c r="N1204" s="3"/>
      <c r="O1204" s="3"/>
      <c r="P1204" s="3"/>
    </row>
    <row r="1205" spans="4:16" x14ac:dyDescent="0.25">
      <c r="D1205" s="2"/>
      <c r="F1205" s="3"/>
      <c r="G1205" s="3"/>
      <c r="H1205" s="3"/>
      <c r="I1205" s="3"/>
      <c r="J1205" s="3"/>
      <c r="K1205" s="3"/>
      <c r="M1205" s="10"/>
      <c r="N1205" s="3"/>
      <c r="O1205" s="3"/>
      <c r="P1205" s="3"/>
    </row>
    <row r="1206" spans="4:16" x14ac:dyDescent="0.25">
      <c r="D1206" s="2"/>
      <c r="F1206" s="3"/>
      <c r="G1206" s="3"/>
      <c r="H1206" s="3"/>
      <c r="I1206" s="3"/>
      <c r="J1206" s="3"/>
      <c r="K1206" s="3"/>
      <c r="M1206" s="10"/>
      <c r="N1206" s="3"/>
      <c r="O1206" s="3"/>
      <c r="P1206" s="3"/>
    </row>
    <row r="1207" spans="4:16" x14ac:dyDescent="0.25">
      <c r="D1207" s="2"/>
      <c r="F1207" s="3"/>
      <c r="G1207" s="3"/>
      <c r="H1207" s="3"/>
      <c r="I1207" s="3"/>
      <c r="J1207" s="3"/>
      <c r="K1207" s="3"/>
      <c r="M1207" s="10"/>
      <c r="N1207" s="3"/>
      <c r="O1207" s="3"/>
      <c r="P1207" s="3"/>
    </row>
    <row r="1208" spans="4:16" x14ac:dyDescent="0.25">
      <c r="D1208" s="2"/>
      <c r="F1208" s="3"/>
      <c r="G1208" s="3"/>
      <c r="H1208" s="3"/>
      <c r="I1208" s="3"/>
      <c r="J1208" s="3"/>
      <c r="K1208" s="3"/>
      <c r="M1208" s="10"/>
      <c r="N1208" s="3"/>
      <c r="O1208" s="3"/>
      <c r="P1208" s="3"/>
    </row>
    <row r="1209" spans="4:16" x14ac:dyDescent="0.25">
      <c r="D1209" s="2"/>
      <c r="F1209" s="3"/>
      <c r="G1209" s="3"/>
      <c r="H1209" s="3"/>
      <c r="I1209" s="3"/>
      <c r="J1209" s="3"/>
      <c r="K1209" s="3"/>
      <c r="M1209" s="10"/>
      <c r="N1209" s="3"/>
      <c r="O1209" s="3"/>
      <c r="P1209" s="3"/>
    </row>
    <row r="1210" spans="4:16" x14ac:dyDescent="0.25">
      <c r="D1210" s="2"/>
      <c r="F1210" s="3"/>
      <c r="G1210" s="3"/>
      <c r="H1210" s="3"/>
      <c r="I1210" s="3"/>
      <c r="J1210" s="3"/>
      <c r="K1210" s="3"/>
      <c r="M1210" s="10"/>
      <c r="N1210" s="3"/>
      <c r="O1210" s="3"/>
      <c r="P1210" s="3"/>
    </row>
    <row r="1211" spans="4:16" x14ac:dyDescent="0.25">
      <c r="D1211" s="2"/>
      <c r="F1211" s="3"/>
      <c r="G1211" s="3"/>
      <c r="H1211" s="3"/>
      <c r="I1211" s="3"/>
      <c r="J1211" s="3"/>
      <c r="K1211" s="3"/>
      <c r="M1211" s="10"/>
      <c r="N1211" s="3"/>
      <c r="O1211" s="3"/>
      <c r="P1211" s="3"/>
    </row>
    <row r="1212" spans="4:16" x14ac:dyDescent="0.25">
      <c r="D1212" s="2"/>
      <c r="F1212" s="3"/>
      <c r="G1212" s="3"/>
      <c r="H1212" s="3"/>
      <c r="I1212" s="3"/>
      <c r="J1212" s="3"/>
      <c r="K1212" s="3"/>
      <c r="M1212" s="10"/>
      <c r="N1212" s="3"/>
      <c r="O1212" s="3"/>
      <c r="P1212" s="3"/>
    </row>
    <row r="1213" spans="4:16" x14ac:dyDescent="0.25">
      <c r="D1213" s="2"/>
      <c r="F1213" s="3"/>
      <c r="G1213" s="3"/>
      <c r="H1213" s="3"/>
      <c r="I1213" s="3"/>
      <c r="J1213" s="3"/>
      <c r="K1213" s="3"/>
      <c r="M1213" s="10"/>
      <c r="N1213" s="3"/>
      <c r="O1213" s="3"/>
      <c r="P1213" s="3"/>
    </row>
    <row r="1214" spans="4:16" x14ac:dyDescent="0.25">
      <c r="D1214" s="2"/>
      <c r="F1214" s="3"/>
      <c r="G1214" s="3"/>
      <c r="H1214" s="3"/>
      <c r="I1214" s="3"/>
      <c r="J1214" s="3"/>
      <c r="K1214" s="3"/>
      <c r="M1214" s="10"/>
      <c r="N1214" s="3"/>
      <c r="O1214" s="3"/>
      <c r="P1214" s="3"/>
    </row>
    <row r="1215" spans="4:16" x14ac:dyDescent="0.25">
      <c r="D1215" s="2"/>
      <c r="F1215" s="3"/>
      <c r="G1215" s="3"/>
      <c r="H1215" s="3"/>
      <c r="I1215" s="3"/>
      <c r="J1215" s="3"/>
      <c r="K1215" s="3"/>
      <c r="M1215" s="10"/>
      <c r="N1215" s="3"/>
      <c r="O1215" s="3"/>
      <c r="P1215" s="3"/>
    </row>
    <row r="1216" spans="4:16" x14ac:dyDescent="0.25">
      <c r="D1216" s="2"/>
      <c r="F1216" s="3"/>
      <c r="G1216" s="3"/>
      <c r="H1216" s="3"/>
      <c r="I1216" s="3"/>
      <c r="J1216" s="3"/>
      <c r="K1216" s="3"/>
      <c r="M1216" s="10"/>
      <c r="N1216" s="3"/>
      <c r="O1216" s="3"/>
      <c r="P1216" s="3"/>
    </row>
    <row r="1217" spans="4:16" x14ac:dyDescent="0.25">
      <c r="D1217" s="2"/>
      <c r="F1217" s="3"/>
      <c r="G1217" s="3"/>
      <c r="H1217" s="3"/>
      <c r="I1217" s="3"/>
      <c r="J1217" s="3"/>
      <c r="K1217" s="3"/>
      <c r="M1217" s="10"/>
      <c r="N1217" s="3"/>
      <c r="O1217" s="3"/>
      <c r="P1217" s="3"/>
    </row>
    <row r="1218" spans="4:16" x14ac:dyDescent="0.25">
      <c r="D1218" s="2"/>
      <c r="F1218" s="3"/>
      <c r="G1218" s="3"/>
      <c r="H1218" s="3"/>
      <c r="I1218" s="3"/>
      <c r="J1218" s="3"/>
      <c r="K1218" s="3"/>
      <c r="M1218" s="10"/>
      <c r="N1218" s="3"/>
      <c r="O1218" s="3"/>
      <c r="P1218" s="3"/>
    </row>
    <row r="1219" spans="4:16" x14ac:dyDescent="0.25">
      <c r="D1219" s="2"/>
      <c r="F1219" s="3"/>
      <c r="G1219" s="3"/>
      <c r="H1219" s="3"/>
      <c r="I1219" s="3"/>
      <c r="J1219" s="3"/>
      <c r="K1219" s="3"/>
      <c r="M1219" s="10"/>
      <c r="N1219" s="3"/>
      <c r="O1219" s="3"/>
      <c r="P1219" s="3"/>
    </row>
    <row r="1220" spans="4:16" x14ac:dyDescent="0.25">
      <c r="D1220" s="2"/>
      <c r="F1220" s="3"/>
      <c r="G1220" s="3"/>
      <c r="H1220" s="3"/>
      <c r="I1220" s="3"/>
      <c r="J1220" s="3"/>
      <c r="K1220" s="3"/>
      <c r="M1220" s="10"/>
      <c r="N1220" s="3"/>
      <c r="O1220" s="3"/>
      <c r="P1220" s="3"/>
    </row>
    <row r="1221" spans="4:16" x14ac:dyDescent="0.25">
      <c r="D1221" s="2"/>
      <c r="F1221" s="3"/>
      <c r="G1221" s="3"/>
      <c r="H1221" s="3"/>
      <c r="I1221" s="3"/>
      <c r="J1221" s="3"/>
      <c r="K1221" s="3"/>
      <c r="M1221" s="10"/>
      <c r="N1221" s="3"/>
      <c r="O1221" s="3"/>
      <c r="P1221" s="3"/>
    </row>
    <row r="1222" spans="4:16" x14ac:dyDescent="0.25">
      <c r="D1222" s="2"/>
      <c r="F1222" s="3"/>
      <c r="G1222" s="3"/>
      <c r="H1222" s="3"/>
      <c r="I1222" s="3"/>
      <c r="J1222" s="3"/>
      <c r="K1222" s="3"/>
      <c r="M1222" s="10"/>
      <c r="N1222" s="3"/>
      <c r="O1222" s="3"/>
      <c r="P1222" s="3"/>
    </row>
    <row r="1223" spans="4:16" x14ac:dyDescent="0.25">
      <c r="D1223" s="2"/>
      <c r="F1223" s="3"/>
      <c r="G1223" s="3"/>
      <c r="H1223" s="3"/>
      <c r="I1223" s="3"/>
      <c r="J1223" s="3"/>
      <c r="K1223" s="3"/>
      <c r="M1223" s="10"/>
      <c r="N1223" s="3"/>
      <c r="O1223" s="3"/>
      <c r="P1223" s="3"/>
    </row>
    <row r="1224" spans="4:16" x14ac:dyDescent="0.25">
      <c r="D1224" s="2"/>
      <c r="F1224" s="3"/>
      <c r="G1224" s="3"/>
      <c r="H1224" s="3"/>
      <c r="I1224" s="3"/>
      <c r="J1224" s="3"/>
      <c r="K1224" s="3"/>
      <c r="M1224" s="10"/>
      <c r="N1224" s="3"/>
      <c r="O1224" s="3"/>
      <c r="P1224" s="3"/>
    </row>
    <row r="1225" spans="4:16" x14ac:dyDescent="0.25">
      <c r="D1225" s="2"/>
      <c r="F1225" s="3"/>
      <c r="G1225" s="3"/>
      <c r="H1225" s="3"/>
      <c r="I1225" s="3"/>
      <c r="J1225" s="3"/>
      <c r="K1225" s="3"/>
      <c r="M1225" s="10"/>
      <c r="N1225" s="3"/>
      <c r="O1225" s="3"/>
      <c r="P1225" s="3"/>
    </row>
    <row r="1226" spans="4:16" x14ac:dyDescent="0.25">
      <c r="D1226" s="2"/>
      <c r="F1226" s="3"/>
      <c r="G1226" s="3"/>
      <c r="H1226" s="3"/>
      <c r="I1226" s="3"/>
      <c r="J1226" s="3"/>
      <c r="K1226" s="3"/>
      <c r="M1226" s="10"/>
      <c r="N1226" s="3"/>
      <c r="O1226" s="3"/>
      <c r="P1226" s="3"/>
    </row>
    <row r="1227" spans="4:16" x14ac:dyDescent="0.25">
      <c r="D1227" s="2"/>
      <c r="F1227" s="3"/>
      <c r="G1227" s="3"/>
      <c r="H1227" s="3"/>
      <c r="I1227" s="3"/>
      <c r="J1227" s="3"/>
      <c r="K1227" s="3"/>
      <c r="M1227" s="10"/>
      <c r="N1227" s="3"/>
      <c r="O1227" s="3"/>
      <c r="P1227" s="3"/>
    </row>
    <row r="1228" spans="4:16" x14ac:dyDescent="0.25">
      <c r="D1228" s="2"/>
      <c r="F1228" s="3"/>
      <c r="G1228" s="3"/>
      <c r="H1228" s="3"/>
      <c r="I1228" s="3"/>
      <c r="J1228" s="3"/>
      <c r="K1228" s="3"/>
      <c r="M1228" s="10"/>
      <c r="N1228" s="3"/>
      <c r="O1228" s="3"/>
      <c r="P1228" s="3"/>
    </row>
    <row r="1229" spans="4:16" x14ac:dyDescent="0.25">
      <c r="D1229" s="2"/>
      <c r="F1229" s="3"/>
      <c r="G1229" s="3"/>
      <c r="H1229" s="3"/>
      <c r="I1229" s="3"/>
      <c r="J1229" s="3"/>
      <c r="K1229" s="3"/>
      <c r="M1229" s="10"/>
      <c r="N1229" s="3"/>
      <c r="O1229" s="3"/>
      <c r="P1229" s="3"/>
    </row>
    <row r="1230" spans="4:16" x14ac:dyDescent="0.25">
      <c r="D1230" s="2"/>
      <c r="F1230" s="3"/>
      <c r="G1230" s="3"/>
      <c r="H1230" s="3"/>
      <c r="I1230" s="3"/>
      <c r="J1230" s="3"/>
      <c r="K1230" s="3"/>
      <c r="M1230" s="10"/>
      <c r="N1230" s="3"/>
      <c r="O1230" s="3"/>
      <c r="P1230" s="3"/>
    </row>
    <row r="1231" spans="4:16" x14ac:dyDescent="0.25">
      <c r="D1231" s="2"/>
      <c r="F1231" s="3"/>
      <c r="G1231" s="3"/>
      <c r="H1231" s="3"/>
      <c r="I1231" s="3"/>
      <c r="J1231" s="3"/>
      <c r="K1231" s="3"/>
      <c r="M1231" s="10"/>
      <c r="N1231" s="3"/>
      <c r="O1231" s="3"/>
      <c r="P1231" s="3"/>
    </row>
    <row r="1232" spans="4:16" x14ac:dyDescent="0.25">
      <c r="D1232" s="2"/>
      <c r="F1232" s="3"/>
      <c r="G1232" s="3"/>
      <c r="H1232" s="3"/>
      <c r="I1232" s="3"/>
      <c r="J1232" s="3"/>
      <c r="K1232" s="3"/>
      <c r="M1232" s="10"/>
      <c r="N1232" s="3"/>
      <c r="O1232" s="3"/>
      <c r="P1232" s="3"/>
    </row>
    <row r="1233" spans="4:16" x14ac:dyDescent="0.25">
      <c r="D1233" s="2"/>
      <c r="F1233" s="3"/>
      <c r="G1233" s="3"/>
      <c r="H1233" s="3"/>
      <c r="I1233" s="3"/>
      <c r="J1233" s="3"/>
      <c r="K1233" s="3"/>
      <c r="M1233" s="10"/>
      <c r="N1233" s="3"/>
      <c r="O1233" s="3"/>
      <c r="P1233" s="3"/>
    </row>
    <row r="1234" spans="4:16" x14ac:dyDescent="0.25">
      <c r="D1234" s="2"/>
      <c r="F1234" s="3"/>
      <c r="G1234" s="3"/>
      <c r="H1234" s="3"/>
      <c r="I1234" s="3"/>
      <c r="J1234" s="3"/>
      <c r="K1234" s="3"/>
      <c r="M1234" s="10"/>
      <c r="N1234" s="3"/>
      <c r="O1234" s="3"/>
      <c r="P1234" s="3"/>
    </row>
    <row r="1235" spans="4:16" x14ac:dyDescent="0.25">
      <c r="D1235" s="2"/>
      <c r="F1235" s="3"/>
      <c r="G1235" s="3"/>
      <c r="H1235" s="3"/>
      <c r="I1235" s="3"/>
      <c r="J1235" s="3"/>
      <c r="K1235" s="3"/>
      <c r="M1235" s="10"/>
      <c r="N1235" s="3"/>
      <c r="O1235" s="3"/>
      <c r="P1235" s="3"/>
    </row>
    <row r="1236" spans="4:16" x14ac:dyDescent="0.25">
      <c r="D1236" s="2"/>
      <c r="F1236" s="3"/>
      <c r="G1236" s="3"/>
      <c r="H1236" s="3"/>
      <c r="I1236" s="3"/>
      <c r="J1236" s="3"/>
      <c r="K1236" s="3"/>
      <c r="M1236" s="10"/>
      <c r="N1236" s="3"/>
      <c r="O1236" s="3"/>
      <c r="P1236" s="3"/>
    </row>
    <row r="1237" spans="4:16" x14ac:dyDescent="0.25">
      <c r="D1237" s="2"/>
      <c r="F1237" s="3"/>
      <c r="G1237" s="3"/>
      <c r="H1237" s="3"/>
      <c r="I1237" s="3"/>
      <c r="J1237" s="3"/>
      <c r="K1237" s="3"/>
      <c r="M1237" s="10"/>
      <c r="N1237" s="3"/>
      <c r="O1237" s="3"/>
      <c r="P1237" s="3"/>
    </row>
    <row r="1238" spans="4:16" x14ac:dyDescent="0.25">
      <c r="D1238" s="2"/>
      <c r="F1238" s="3"/>
      <c r="G1238" s="3"/>
      <c r="H1238" s="3"/>
      <c r="I1238" s="3"/>
      <c r="J1238" s="3"/>
      <c r="K1238" s="3"/>
      <c r="M1238" s="10"/>
      <c r="N1238" s="3"/>
      <c r="O1238" s="3"/>
      <c r="P1238" s="3"/>
    </row>
    <row r="1239" spans="4:16" x14ac:dyDescent="0.25">
      <c r="D1239" s="2"/>
      <c r="F1239" s="3"/>
      <c r="G1239" s="3"/>
      <c r="H1239" s="3"/>
      <c r="I1239" s="3"/>
      <c r="J1239" s="3"/>
      <c r="K1239" s="3"/>
      <c r="M1239" s="10"/>
      <c r="N1239" s="3"/>
      <c r="O1239" s="3"/>
      <c r="P1239" s="3"/>
    </row>
    <row r="1240" spans="4:16" x14ac:dyDescent="0.25">
      <c r="D1240" s="2"/>
      <c r="F1240" s="3"/>
      <c r="G1240" s="3"/>
      <c r="H1240" s="3"/>
      <c r="I1240" s="3"/>
      <c r="J1240" s="3"/>
      <c r="K1240" s="3"/>
      <c r="M1240" s="10"/>
      <c r="N1240" s="3"/>
      <c r="O1240" s="3"/>
      <c r="P1240" s="3"/>
    </row>
    <row r="1241" spans="4:16" x14ac:dyDescent="0.25">
      <c r="D1241" s="2"/>
      <c r="F1241" s="3"/>
      <c r="G1241" s="3"/>
      <c r="H1241" s="3"/>
      <c r="I1241" s="3"/>
      <c r="J1241" s="3"/>
      <c r="K1241" s="3"/>
      <c r="M1241" s="10"/>
      <c r="N1241" s="3"/>
      <c r="O1241" s="3"/>
      <c r="P1241" s="3"/>
    </row>
    <row r="1242" spans="4:16" x14ac:dyDescent="0.25">
      <c r="D1242" s="2"/>
      <c r="F1242" s="3"/>
      <c r="G1242" s="3"/>
      <c r="H1242" s="3"/>
      <c r="I1242" s="3"/>
      <c r="J1242" s="3"/>
      <c r="K1242" s="3"/>
      <c r="M1242" s="10"/>
      <c r="N1242" s="3"/>
      <c r="O1242" s="3"/>
      <c r="P1242" s="3"/>
    </row>
    <row r="1243" spans="4:16" x14ac:dyDescent="0.25">
      <c r="D1243" s="2"/>
      <c r="F1243" s="3"/>
      <c r="G1243" s="3"/>
      <c r="H1243" s="3"/>
      <c r="I1243" s="3"/>
      <c r="J1243" s="3"/>
      <c r="K1243" s="3"/>
      <c r="M1243" s="10"/>
      <c r="N1243" s="3"/>
      <c r="O1243" s="3"/>
      <c r="P1243" s="3"/>
    </row>
    <row r="1244" spans="4:16" x14ac:dyDescent="0.25">
      <c r="D1244" s="2"/>
      <c r="F1244" s="3"/>
      <c r="G1244" s="3"/>
      <c r="H1244" s="3"/>
      <c r="I1244" s="3"/>
      <c r="J1244" s="3"/>
      <c r="K1244" s="3"/>
      <c r="M1244" s="10"/>
      <c r="N1244" s="3"/>
      <c r="O1244" s="3"/>
      <c r="P1244" s="3"/>
    </row>
    <row r="1245" spans="4:16" x14ac:dyDescent="0.25">
      <c r="D1245" s="2"/>
      <c r="F1245" s="3"/>
      <c r="G1245" s="3"/>
      <c r="H1245" s="3"/>
      <c r="I1245" s="3"/>
      <c r="J1245" s="3"/>
      <c r="K1245" s="3"/>
      <c r="M1245" s="10"/>
      <c r="N1245" s="3"/>
      <c r="O1245" s="3"/>
      <c r="P1245" s="3"/>
    </row>
    <row r="1246" spans="4:16" x14ac:dyDescent="0.25">
      <c r="D1246" s="2"/>
      <c r="F1246" s="3"/>
      <c r="G1246" s="3"/>
      <c r="H1246" s="3"/>
      <c r="I1246" s="3"/>
      <c r="J1246" s="3"/>
      <c r="K1246" s="3"/>
      <c r="M1246" s="10"/>
      <c r="N1246" s="3"/>
      <c r="O1246" s="3"/>
      <c r="P1246" s="3"/>
    </row>
    <row r="1247" spans="4:16" x14ac:dyDescent="0.25">
      <c r="D1247" s="2"/>
      <c r="F1247" s="3"/>
      <c r="G1247" s="3"/>
      <c r="H1247" s="3"/>
      <c r="I1247" s="3"/>
      <c r="J1247" s="3"/>
      <c r="K1247" s="3"/>
      <c r="M1247" s="10"/>
      <c r="N1247" s="3"/>
      <c r="O1247" s="3"/>
      <c r="P1247" s="3"/>
    </row>
    <row r="1248" spans="4:16" x14ac:dyDescent="0.25">
      <c r="D1248" s="2"/>
      <c r="F1248" s="3"/>
      <c r="G1248" s="3"/>
      <c r="H1248" s="3"/>
      <c r="I1248" s="3"/>
      <c r="J1248" s="3"/>
      <c r="K1248" s="3"/>
      <c r="M1248" s="10"/>
      <c r="N1248" s="3"/>
      <c r="O1248" s="3"/>
      <c r="P1248" s="3"/>
    </row>
    <row r="1249" spans="4:16" x14ac:dyDescent="0.25">
      <c r="D1249" s="2"/>
      <c r="F1249" s="3"/>
      <c r="G1249" s="3"/>
      <c r="H1249" s="3"/>
      <c r="I1249" s="3"/>
      <c r="J1249" s="3"/>
      <c r="K1249" s="3"/>
      <c r="M1249" s="10"/>
      <c r="N1249" s="3"/>
      <c r="O1249" s="3"/>
      <c r="P1249" s="3"/>
    </row>
    <row r="1250" spans="4:16" x14ac:dyDescent="0.25">
      <c r="D1250" s="2"/>
      <c r="F1250" s="3"/>
      <c r="G1250" s="3"/>
      <c r="H1250" s="3"/>
      <c r="I1250" s="3"/>
      <c r="J1250" s="3"/>
      <c r="K1250" s="3"/>
      <c r="M1250" s="10"/>
      <c r="N1250" s="3"/>
      <c r="O1250" s="3"/>
      <c r="P1250" s="3"/>
    </row>
    <row r="1251" spans="4:16" x14ac:dyDescent="0.25">
      <c r="D1251" s="2"/>
      <c r="F1251" s="3"/>
      <c r="G1251" s="3"/>
      <c r="H1251" s="3"/>
      <c r="I1251" s="3"/>
      <c r="J1251" s="3"/>
      <c r="K1251" s="3"/>
      <c r="M1251" s="10"/>
      <c r="N1251" s="3"/>
      <c r="O1251" s="3"/>
      <c r="P1251" s="3"/>
    </row>
    <row r="1252" spans="4:16" x14ac:dyDescent="0.25">
      <c r="D1252" s="2"/>
      <c r="F1252" s="3"/>
      <c r="G1252" s="3"/>
      <c r="H1252" s="3"/>
      <c r="I1252" s="3"/>
      <c r="J1252" s="3"/>
      <c r="K1252" s="3"/>
      <c r="M1252" s="10"/>
      <c r="N1252" s="3"/>
      <c r="O1252" s="3"/>
      <c r="P1252" s="3"/>
    </row>
    <row r="1253" spans="4:16" x14ac:dyDescent="0.25">
      <c r="D1253" s="2"/>
      <c r="F1253" s="3"/>
      <c r="G1253" s="3"/>
      <c r="H1253" s="3"/>
      <c r="I1253" s="3"/>
      <c r="J1253" s="3"/>
      <c r="K1253" s="3"/>
      <c r="M1253" s="10"/>
      <c r="N1253" s="3"/>
      <c r="O1253" s="3"/>
      <c r="P1253" s="3"/>
    </row>
    <row r="1254" spans="4:16" x14ac:dyDescent="0.25">
      <c r="D1254" s="2"/>
      <c r="F1254" s="3"/>
      <c r="G1254" s="3"/>
      <c r="H1254" s="3"/>
      <c r="I1254" s="3"/>
      <c r="J1254" s="3"/>
      <c r="K1254" s="3"/>
      <c r="M1254" s="10"/>
      <c r="N1254" s="3"/>
      <c r="O1254" s="3"/>
      <c r="P1254" s="3"/>
    </row>
    <row r="1255" spans="4:16" x14ac:dyDescent="0.25">
      <c r="D1255" s="2"/>
      <c r="F1255" s="3"/>
      <c r="G1255" s="3"/>
      <c r="H1255" s="3"/>
      <c r="I1255" s="3"/>
      <c r="J1255" s="3"/>
      <c r="K1255" s="3"/>
      <c r="M1255" s="10"/>
      <c r="N1255" s="3"/>
      <c r="O1255" s="3"/>
      <c r="P1255" s="3"/>
    </row>
    <row r="1256" spans="4:16" x14ac:dyDescent="0.25">
      <c r="D1256" s="2"/>
      <c r="F1256" s="3"/>
      <c r="G1256" s="3"/>
      <c r="H1256" s="3"/>
      <c r="I1256" s="3"/>
      <c r="J1256" s="3"/>
      <c r="K1256" s="3"/>
      <c r="M1256" s="10"/>
      <c r="N1256" s="3"/>
      <c r="O1256" s="3"/>
      <c r="P1256" s="3"/>
    </row>
    <row r="1257" spans="4:16" x14ac:dyDescent="0.25">
      <c r="D1257" s="2"/>
      <c r="F1257" s="3"/>
      <c r="G1257" s="3"/>
      <c r="H1257" s="3"/>
      <c r="I1257" s="3"/>
      <c r="J1257" s="3"/>
      <c r="K1257" s="3"/>
      <c r="M1257" s="10"/>
      <c r="N1257" s="3"/>
      <c r="O1257" s="3"/>
      <c r="P1257" s="3"/>
    </row>
    <row r="1258" spans="4:16" x14ac:dyDescent="0.25">
      <c r="D1258" s="2"/>
      <c r="F1258" s="3"/>
      <c r="G1258" s="3"/>
      <c r="H1258" s="3"/>
      <c r="I1258" s="3"/>
      <c r="J1258" s="3"/>
      <c r="K1258" s="3"/>
      <c r="M1258" s="10"/>
      <c r="N1258" s="3"/>
      <c r="O1258" s="3"/>
      <c r="P1258" s="3"/>
    </row>
    <row r="1259" spans="4:16" x14ac:dyDescent="0.25">
      <c r="D1259" s="2"/>
      <c r="F1259" s="3"/>
      <c r="G1259" s="3"/>
      <c r="H1259" s="3"/>
      <c r="I1259" s="3"/>
      <c r="J1259" s="3"/>
      <c r="K1259" s="3"/>
      <c r="M1259" s="10"/>
      <c r="N1259" s="3"/>
      <c r="O1259" s="3"/>
      <c r="P1259" s="3"/>
    </row>
    <row r="1260" spans="4:16" x14ac:dyDescent="0.25">
      <c r="D1260" s="2"/>
      <c r="F1260" s="3"/>
      <c r="G1260" s="3"/>
      <c r="H1260" s="3"/>
      <c r="I1260" s="3"/>
      <c r="J1260" s="3"/>
      <c r="K1260" s="3"/>
      <c r="M1260" s="10"/>
      <c r="N1260" s="3"/>
      <c r="O1260" s="3"/>
      <c r="P1260" s="3"/>
    </row>
    <row r="1261" spans="4:16" x14ac:dyDescent="0.25">
      <c r="D1261" s="2"/>
      <c r="F1261" s="3"/>
      <c r="G1261" s="3"/>
      <c r="H1261" s="3"/>
      <c r="I1261" s="3"/>
      <c r="J1261" s="3"/>
      <c r="K1261" s="3"/>
      <c r="M1261" s="10"/>
      <c r="N1261" s="3"/>
      <c r="O1261" s="3"/>
      <c r="P1261" s="3"/>
    </row>
    <row r="1262" spans="4:16" x14ac:dyDescent="0.25">
      <c r="D1262" s="2"/>
      <c r="F1262" s="3"/>
      <c r="G1262" s="3"/>
      <c r="H1262" s="3"/>
      <c r="I1262" s="3"/>
      <c r="J1262" s="3"/>
      <c r="K1262" s="3"/>
      <c r="M1262" s="10"/>
      <c r="N1262" s="3"/>
      <c r="O1262" s="3"/>
      <c r="P1262" s="3"/>
    </row>
    <row r="1263" spans="4:16" x14ac:dyDescent="0.25">
      <c r="D1263" s="2"/>
      <c r="F1263" s="3"/>
      <c r="G1263" s="3"/>
      <c r="H1263" s="3"/>
      <c r="I1263" s="3"/>
      <c r="J1263" s="3"/>
      <c r="K1263" s="3"/>
      <c r="M1263" s="10"/>
      <c r="N1263" s="3"/>
      <c r="O1263" s="3"/>
      <c r="P1263" s="3"/>
    </row>
    <row r="1264" spans="4:16" x14ac:dyDescent="0.25">
      <c r="D1264" s="2"/>
      <c r="F1264" s="3"/>
      <c r="G1264" s="3"/>
      <c r="H1264" s="3"/>
      <c r="I1264" s="3"/>
      <c r="J1264" s="3"/>
      <c r="K1264" s="3"/>
      <c r="M1264" s="10"/>
      <c r="N1264" s="3"/>
      <c r="O1264" s="3"/>
      <c r="P1264" s="3"/>
    </row>
    <row r="1265" spans="4:16" x14ac:dyDescent="0.25">
      <c r="D1265" s="2"/>
      <c r="F1265" s="3"/>
      <c r="G1265" s="3"/>
      <c r="H1265" s="3"/>
      <c r="I1265" s="3"/>
      <c r="J1265" s="3"/>
      <c r="K1265" s="3"/>
      <c r="M1265" s="10"/>
      <c r="N1265" s="3"/>
      <c r="O1265" s="3"/>
      <c r="P1265" s="3"/>
    </row>
    <row r="1266" spans="4:16" x14ac:dyDescent="0.25">
      <c r="D1266" s="2"/>
      <c r="F1266" s="3"/>
      <c r="G1266" s="3"/>
      <c r="H1266" s="3"/>
      <c r="I1266" s="3"/>
      <c r="J1266" s="3"/>
      <c r="K1266" s="3"/>
      <c r="M1266" s="10"/>
      <c r="N1266" s="3"/>
      <c r="O1266" s="3"/>
      <c r="P1266" s="3"/>
    </row>
    <row r="1267" spans="4:16" x14ac:dyDescent="0.25">
      <c r="D1267" s="2"/>
      <c r="F1267" s="3"/>
      <c r="G1267" s="3"/>
      <c r="H1267" s="3"/>
      <c r="I1267" s="3"/>
      <c r="J1267" s="3"/>
      <c r="K1267" s="3"/>
      <c r="M1267" s="10"/>
      <c r="N1267" s="3"/>
      <c r="O1267" s="3"/>
      <c r="P1267" s="3"/>
    </row>
    <row r="1268" spans="4:16" x14ac:dyDescent="0.25">
      <c r="D1268" s="2"/>
      <c r="F1268" s="3"/>
      <c r="G1268" s="3"/>
      <c r="H1268" s="3"/>
      <c r="I1268" s="3"/>
      <c r="J1268" s="3"/>
      <c r="K1268" s="3"/>
      <c r="M1268" s="10"/>
      <c r="N1268" s="3"/>
      <c r="O1268" s="3"/>
      <c r="P1268" s="3"/>
    </row>
    <row r="1269" spans="4:16" x14ac:dyDescent="0.25">
      <c r="D1269" s="2"/>
      <c r="F1269" s="3"/>
      <c r="G1269" s="3"/>
      <c r="H1269" s="3"/>
      <c r="I1269" s="3"/>
      <c r="J1269" s="3"/>
      <c r="K1269" s="3"/>
      <c r="M1269" s="10"/>
      <c r="N1269" s="3"/>
      <c r="O1269" s="3"/>
      <c r="P1269" s="3"/>
    </row>
    <row r="1270" spans="4:16" x14ac:dyDescent="0.25">
      <c r="D1270" s="2"/>
      <c r="F1270" s="3"/>
      <c r="G1270" s="3"/>
      <c r="H1270" s="3"/>
      <c r="I1270" s="3"/>
      <c r="J1270" s="3"/>
      <c r="K1270" s="3"/>
      <c r="M1270" s="10"/>
      <c r="N1270" s="3"/>
      <c r="O1270" s="3"/>
      <c r="P1270" s="3"/>
    </row>
    <row r="1271" spans="4:16" x14ac:dyDescent="0.25">
      <c r="D1271" s="2"/>
      <c r="F1271" s="3"/>
      <c r="G1271" s="3"/>
      <c r="H1271" s="3"/>
      <c r="I1271" s="3"/>
      <c r="J1271" s="3"/>
      <c r="K1271" s="3"/>
      <c r="M1271" s="10"/>
      <c r="N1271" s="3"/>
      <c r="O1271" s="3"/>
      <c r="P1271" s="3"/>
    </row>
    <row r="1272" spans="4:16" x14ac:dyDescent="0.25">
      <c r="D1272" s="2"/>
      <c r="F1272" s="3"/>
      <c r="G1272" s="3"/>
      <c r="H1272" s="3"/>
      <c r="I1272" s="3"/>
      <c r="J1272" s="3"/>
      <c r="K1272" s="3"/>
      <c r="M1272" s="10"/>
      <c r="N1272" s="3"/>
      <c r="O1272" s="3"/>
      <c r="P1272" s="3"/>
    </row>
    <row r="1273" spans="4:16" x14ac:dyDescent="0.25">
      <c r="D1273" s="2"/>
      <c r="F1273" s="3"/>
      <c r="G1273" s="3"/>
      <c r="H1273" s="3"/>
      <c r="I1273" s="3"/>
      <c r="J1273" s="3"/>
      <c r="K1273" s="3"/>
      <c r="M1273" s="10"/>
      <c r="N1273" s="3"/>
      <c r="O1273" s="3"/>
      <c r="P1273" s="3"/>
    </row>
    <row r="1274" spans="4:16" x14ac:dyDescent="0.25">
      <c r="D1274" s="2"/>
      <c r="F1274" s="3"/>
      <c r="G1274" s="3"/>
      <c r="H1274" s="3"/>
      <c r="I1274" s="3"/>
      <c r="J1274" s="3"/>
      <c r="K1274" s="3"/>
      <c r="M1274" s="10"/>
      <c r="N1274" s="3"/>
      <c r="O1274" s="3"/>
      <c r="P1274" s="3"/>
    </row>
    <row r="1275" spans="4:16" x14ac:dyDescent="0.25">
      <c r="D1275" s="2"/>
      <c r="F1275" s="3"/>
      <c r="G1275" s="3"/>
      <c r="H1275" s="3"/>
      <c r="I1275" s="3"/>
      <c r="J1275" s="3"/>
      <c r="K1275" s="3"/>
      <c r="M1275" s="10"/>
      <c r="N1275" s="3"/>
      <c r="O1275" s="3"/>
      <c r="P1275" s="3"/>
    </row>
    <row r="1276" spans="4:16" x14ac:dyDescent="0.25">
      <c r="D1276" s="2"/>
      <c r="F1276" s="3"/>
      <c r="G1276" s="3"/>
      <c r="H1276" s="3"/>
      <c r="I1276" s="3"/>
      <c r="J1276" s="3"/>
      <c r="K1276" s="3"/>
      <c r="M1276" s="10"/>
      <c r="N1276" s="3"/>
      <c r="O1276" s="3"/>
      <c r="P1276" s="3"/>
    </row>
    <row r="1277" spans="4:16" x14ac:dyDescent="0.25">
      <c r="D1277" s="2"/>
      <c r="F1277" s="3"/>
      <c r="G1277" s="3"/>
      <c r="H1277" s="3"/>
      <c r="I1277" s="3"/>
      <c r="J1277" s="3"/>
      <c r="K1277" s="3"/>
      <c r="M1277" s="10"/>
      <c r="N1277" s="3"/>
      <c r="O1277" s="3"/>
      <c r="P1277" s="3"/>
    </row>
    <row r="1278" spans="4:16" x14ac:dyDescent="0.25">
      <c r="D1278" s="2"/>
      <c r="F1278" s="3"/>
      <c r="G1278" s="3"/>
      <c r="H1278" s="3"/>
      <c r="I1278" s="3"/>
      <c r="J1278" s="3"/>
      <c r="K1278" s="3"/>
      <c r="M1278" s="10"/>
      <c r="N1278" s="3"/>
      <c r="O1278" s="3"/>
      <c r="P1278" s="3"/>
    </row>
    <row r="1279" spans="4:16" x14ac:dyDescent="0.25">
      <c r="D1279" s="2"/>
      <c r="F1279" s="3"/>
      <c r="G1279" s="3"/>
      <c r="H1279" s="3"/>
      <c r="I1279" s="3"/>
      <c r="J1279" s="3"/>
      <c r="K1279" s="3"/>
      <c r="M1279" s="10"/>
      <c r="N1279" s="3"/>
      <c r="O1279" s="3"/>
      <c r="P1279" s="3"/>
    </row>
    <row r="1280" spans="4:16" x14ac:dyDescent="0.25">
      <c r="D1280" s="2"/>
      <c r="F1280" s="3"/>
      <c r="G1280" s="3"/>
      <c r="H1280" s="3"/>
      <c r="I1280" s="3"/>
      <c r="J1280" s="3"/>
      <c r="K1280" s="3"/>
      <c r="M1280" s="10"/>
      <c r="N1280" s="3"/>
      <c r="O1280" s="3"/>
      <c r="P1280" s="3"/>
    </row>
    <row r="1281" spans="4:16" x14ac:dyDescent="0.25">
      <c r="D1281" s="2"/>
      <c r="F1281" s="3"/>
      <c r="G1281" s="3"/>
      <c r="H1281" s="3"/>
      <c r="I1281" s="3"/>
      <c r="J1281" s="3"/>
      <c r="K1281" s="3"/>
      <c r="M1281" s="10"/>
      <c r="N1281" s="3"/>
      <c r="O1281" s="3"/>
      <c r="P1281" s="3"/>
    </row>
    <row r="1282" spans="4:16" x14ac:dyDescent="0.25">
      <c r="D1282" s="2"/>
      <c r="F1282" s="3"/>
      <c r="G1282" s="3"/>
      <c r="H1282" s="3"/>
      <c r="I1282" s="3"/>
      <c r="J1282" s="3"/>
      <c r="K1282" s="3"/>
      <c r="M1282" s="10"/>
      <c r="N1282" s="3"/>
      <c r="O1282" s="3"/>
      <c r="P1282" s="3"/>
    </row>
    <row r="1283" spans="4:16" x14ac:dyDescent="0.25">
      <c r="D1283" s="2"/>
      <c r="F1283" s="3"/>
      <c r="G1283" s="3"/>
      <c r="H1283" s="3"/>
      <c r="I1283" s="3"/>
      <c r="J1283" s="3"/>
      <c r="K1283" s="3"/>
      <c r="M1283" s="10"/>
      <c r="N1283" s="3"/>
      <c r="O1283" s="3"/>
      <c r="P1283" s="3"/>
    </row>
    <row r="1284" spans="4:16" x14ac:dyDescent="0.25">
      <c r="D1284" s="2"/>
      <c r="F1284" s="3"/>
      <c r="G1284" s="3"/>
      <c r="H1284" s="3"/>
      <c r="I1284" s="3"/>
      <c r="J1284" s="3"/>
      <c r="K1284" s="3"/>
      <c r="M1284" s="10"/>
      <c r="N1284" s="3"/>
      <c r="O1284" s="3"/>
      <c r="P1284" s="3"/>
    </row>
    <row r="1285" spans="4:16" x14ac:dyDescent="0.25">
      <c r="D1285" s="2"/>
      <c r="F1285" s="3"/>
      <c r="G1285" s="3"/>
      <c r="H1285" s="3"/>
      <c r="I1285" s="3"/>
      <c r="J1285" s="3"/>
      <c r="K1285" s="3"/>
      <c r="M1285" s="10"/>
      <c r="N1285" s="3"/>
      <c r="O1285" s="3"/>
      <c r="P1285" s="3"/>
    </row>
    <row r="1286" spans="4:16" x14ac:dyDescent="0.25">
      <c r="D1286" s="2"/>
      <c r="F1286" s="3"/>
      <c r="G1286" s="3"/>
      <c r="H1286" s="3"/>
      <c r="I1286" s="3"/>
      <c r="J1286" s="3"/>
      <c r="K1286" s="3"/>
      <c r="M1286" s="10"/>
      <c r="N1286" s="3"/>
      <c r="O1286" s="3"/>
      <c r="P1286" s="3"/>
    </row>
    <row r="1287" spans="4:16" x14ac:dyDescent="0.25">
      <c r="D1287" s="2"/>
      <c r="F1287" s="3"/>
      <c r="G1287" s="3"/>
      <c r="H1287" s="3"/>
      <c r="I1287" s="3"/>
      <c r="J1287" s="3"/>
      <c r="K1287" s="3"/>
      <c r="M1287" s="10"/>
      <c r="N1287" s="3"/>
      <c r="O1287" s="3"/>
      <c r="P1287" s="3"/>
    </row>
    <row r="1288" spans="4:16" x14ac:dyDescent="0.25">
      <c r="D1288" s="2"/>
      <c r="F1288" s="3"/>
      <c r="G1288" s="3"/>
      <c r="H1288" s="3"/>
      <c r="I1288" s="3"/>
      <c r="J1288" s="3"/>
      <c r="K1288" s="3"/>
      <c r="M1288" s="10"/>
      <c r="N1288" s="3"/>
      <c r="O1288" s="3"/>
      <c r="P1288" s="3"/>
    </row>
    <row r="1289" spans="4:16" x14ac:dyDescent="0.25">
      <c r="D1289" s="2"/>
      <c r="F1289" s="3"/>
      <c r="G1289" s="3"/>
      <c r="H1289" s="3"/>
      <c r="I1289" s="3"/>
      <c r="J1289" s="3"/>
      <c r="K1289" s="3"/>
      <c r="M1289" s="10"/>
      <c r="N1289" s="3"/>
      <c r="O1289" s="3"/>
      <c r="P1289" s="3"/>
    </row>
    <row r="1290" spans="4:16" x14ac:dyDescent="0.25">
      <c r="D1290" s="2"/>
      <c r="F1290" s="3"/>
      <c r="G1290" s="3"/>
      <c r="H1290" s="3"/>
      <c r="I1290" s="3"/>
      <c r="J1290" s="3"/>
      <c r="K1290" s="3"/>
      <c r="M1290" s="10"/>
      <c r="N1290" s="3"/>
      <c r="O1290" s="3"/>
      <c r="P1290" s="3"/>
    </row>
    <row r="1291" spans="4:16" x14ac:dyDescent="0.25">
      <c r="D1291" s="2"/>
      <c r="F1291" s="3"/>
      <c r="G1291" s="3"/>
      <c r="H1291" s="3"/>
      <c r="I1291" s="3"/>
      <c r="J1291" s="3"/>
      <c r="K1291" s="3"/>
      <c r="M1291" s="10"/>
      <c r="N1291" s="3"/>
      <c r="O1291" s="3"/>
      <c r="P1291" s="3"/>
    </row>
    <row r="1292" spans="4:16" x14ac:dyDescent="0.25">
      <c r="D1292" s="2"/>
      <c r="F1292" s="3"/>
      <c r="G1292" s="3"/>
      <c r="H1292" s="3"/>
      <c r="I1292" s="3"/>
      <c r="J1292" s="3"/>
      <c r="K1292" s="3"/>
      <c r="M1292" s="10"/>
      <c r="N1292" s="3"/>
      <c r="O1292" s="3"/>
      <c r="P1292" s="3"/>
    </row>
    <row r="1293" spans="4:16" x14ac:dyDescent="0.25">
      <c r="D1293" s="2"/>
      <c r="F1293" s="3"/>
      <c r="G1293" s="3"/>
      <c r="H1293" s="3"/>
      <c r="I1293" s="3"/>
      <c r="J1293" s="3"/>
      <c r="K1293" s="3"/>
      <c r="M1293" s="10"/>
      <c r="N1293" s="3"/>
      <c r="O1293" s="3"/>
      <c r="P1293" s="3"/>
    </row>
    <row r="1294" spans="4:16" x14ac:dyDescent="0.25">
      <c r="D1294" s="2"/>
      <c r="F1294" s="3"/>
      <c r="G1294" s="3"/>
      <c r="H1294" s="3"/>
      <c r="I1294" s="3"/>
      <c r="J1294" s="3"/>
      <c r="K1294" s="3"/>
      <c r="M1294" s="10"/>
      <c r="N1294" s="3"/>
      <c r="O1294" s="3"/>
      <c r="P1294" s="3"/>
    </row>
    <row r="1295" spans="4:16" x14ac:dyDescent="0.25">
      <c r="D1295" s="2"/>
      <c r="F1295" s="3"/>
      <c r="G1295" s="3"/>
      <c r="H1295" s="3"/>
      <c r="I1295" s="3"/>
      <c r="J1295" s="3"/>
      <c r="K1295" s="3"/>
      <c r="M1295" s="10"/>
      <c r="N1295" s="3"/>
      <c r="O1295" s="3"/>
      <c r="P1295" s="3"/>
    </row>
    <row r="1296" spans="4:16" x14ac:dyDescent="0.25">
      <c r="D1296" s="2"/>
      <c r="F1296" s="3"/>
      <c r="G1296" s="3"/>
      <c r="H1296" s="3"/>
      <c r="I1296" s="3"/>
      <c r="J1296" s="3"/>
      <c r="K1296" s="3"/>
      <c r="M1296" s="10"/>
      <c r="N1296" s="3"/>
      <c r="O1296" s="3"/>
      <c r="P1296" s="3"/>
    </row>
    <row r="1297" spans="4:16" x14ac:dyDescent="0.25">
      <c r="D1297" s="2"/>
      <c r="F1297" s="3"/>
      <c r="G1297" s="3"/>
      <c r="H1297" s="3"/>
      <c r="I1297" s="3"/>
      <c r="J1297" s="3"/>
      <c r="K1297" s="3"/>
      <c r="M1297" s="10"/>
      <c r="N1297" s="3"/>
      <c r="O1297" s="3"/>
      <c r="P1297" s="3"/>
    </row>
    <row r="1298" spans="4:16" x14ac:dyDescent="0.25">
      <c r="D1298" s="2"/>
      <c r="F1298" s="3"/>
      <c r="G1298" s="3"/>
      <c r="H1298" s="3"/>
      <c r="I1298" s="3"/>
      <c r="J1298" s="3"/>
      <c r="K1298" s="3"/>
      <c r="M1298" s="10"/>
      <c r="N1298" s="3"/>
      <c r="O1298" s="3"/>
      <c r="P1298" s="3"/>
    </row>
    <row r="1299" spans="4:16" x14ac:dyDescent="0.25">
      <c r="D1299" s="2"/>
      <c r="F1299" s="3"/>
      <c r="G1299" s="3"/>
      <c r="H1299" s="3"/>
      <c r="I1299" s="3"/>
      <c r="J1299" s="3"/>
      <c r="K1299" s="3"/>
      <c r="M1299" s="10"/>
      <c r="N1299" s="3"/>
      <c r="O1299" s="3"/>
      <c r="P1299" s="3"/>
    </row>
    <row r="1300" spans="4:16" x14ac:dyDescent="0.25">
      <c r="D1300" s="2"/>
      <c r="F1300" s="3"/>
      <c r="G1300" s="3"/>
      <c r="H1300" s="3"/>
      <c r="I1300" s="3"/>
      <c r="J1300" s="3"/>
      <c r="K1300" s="3"/>
      <c r="M1300" s="10"/>
      <c r="N1300" s="3"/>
      <c r="O1300" s="3"/>
      <c r="P1300" s="3"/>
    </row>
    <row r="1301" spans="4:16" x14ac:dyDescent="0.25">
      <c r="D1301" s="2"/>
      <c r="F1301" s="3"/>
      <c r="G1301" s="3"/>
      <c r="H1301" s="3"/>
      <c r="I1301" s="3"/>
      <c r="J1301" s="3"/>
      <c r="K1301" s="3"/>
      <c r="M1301" s="10"/>
      <c r="N1301" s="3"/>
      <c r="O1301" s="3"/>
      <c r="P1301" s="3"/>
    </row>
    <row r="1302" spans="4:16" x14ac:dyDescent="0.25">
      <c r="D1302" s="2"/>
      <c r="F1302" s="3"/>
      <c r="G1302" s="3"/>
      <c r="H1302" s="3"/>
      <c r="I1302" s="3"/>
      <c r="J1302" s="3"/>
      <c r="K1302" s="3"/>
      <c r="M1302" s="10"/>
      <c r="N1302" s="3"/>
      <c r="O1302" s="3"/>
      <c r="P1302" s="3"/>
    </row>
    <row r="1303" spans="4:16" x14ac:dyDescent="0.25">
      <c r="D1303" s="2"/>
      <c r="F1303" s="3"/>
      <c r="G1303" s="3"/>
      <c r="H1303" s="3"/>
      <c r="I1303" s="3"/>
      <c r="J1303" s="3"/>
      <c r="K1303" s="3"/>
      <c r="M1303" s="10"/>
      <c r="N1303" s="3"/>
      <c r="O1303" s="3"/>
      <c r="P1303" s="3"/>
    </row>
    <row r="1304" spans="4:16" x14ac:dyDescent="0.25">
      <c r="D1304" s="2"/>
      <c r="F1304" s="3"/>
      <c r="G1304" s="3"/>
      <c r="H1304" s="3"/>
      <c r="I1304" s="3"/>
      <c r="J1304" s="3"/>
      <c r="K1304" s="3"/>
      <c r="M1304" s="10"/>
      <c r="N1304" s="3"/>
      <c r="O1304" s="3"/>
      <c r="P1304" s="3"/>
    </row>
    <row r="1305" spans="4:16" x14ac:dyDescent="0.25">
      <c r="D1305" s="2"/>
      <c r="F1305" s="3"/>
      <c r="G1305" s="3"/>
      <c r="H1305" s="3"/>
      <c r="I1305" s="3"/>
      <c r="J1305" s="3"/>
      <c r="K1305" s="3"/>
      <c r="M1305" s="10"/>
      <c r="N1305" s="3"/>
      <c r="O1305" s="3"/>
      <c r="P1305" s="3"/>
    </row>
    <row r="1306" spans="4:16" x14ac:dyDescent="0.25">
      <c r="D1306" s="2"/>
      <c r="F1306" s="3"/>
      <c r="G1306" s="3"/>
      <c r="H1306" s="3"/>
      <c r="I1306" s="3"/>
      <c r="J1306" s="3"/>
      <c r="K1306" s="3"/>
      <c r="M1306" s="10"/>
      <c r="N1306" s="3"/>
      <c r="O1306" s="3"/>
      <c r="P1306" s="3"/>
    </row>
    <row r="1307" spans="4:16" x14ac:dyDescent="0.25">
      <c r="D1307" s="2"/>
      <c r="F1307" s="3"/>
      <c r="G1307" s="3"/>
      <c r="H1307" s="3"/>
      <c r="I1307" s="3"/>
      <c r="J1307" s="3"/>
      <c r="K1307" s="3"/>
      <c r="M1307" s="10"/>
      <c r="N1307" s="3"/>
      <c r="O1307" s="3"/>
      <c r="P1307" s="3"/>
    </row>
    <row r="1308" spans="4:16" x14ac:dyDescent="0.25">
      <c r="D1308" s="2"/>
      <c r="F1308" s="3"/>
      <c r="G1308" s="3"/>
      <c r="H1308" s="3"/>
      <c r="I1308" s="3"/>
      <c r="J1308" s="3"/>
      <c r="K1308" s="3"/>
      <c r="M1308" s="10"/>
      <c r="N1308" s="3"/>
      <c r="O1308" s="3"/>
      <c r="P1308" s="3"/>
    </row>
    <row r="1309" spans="4:16" x14ac:dyDescent="0.25">
      <c r="D1309" s="2"/>
      <c r="F1309" s="3"/>
      <c r="G1309" s="3"/>
      <c r="H1309" s="3"/>
      <c r="I1309" s="3"/>
      <c r="J1309" s="3"/>
      <c r="K1309" s="3"/>
      <c r="M1309" s="10"/>
      <c r="N1309" s="3"/>
      <c r="O1309" s="3"/>
      <c r="P1309" s="3"/>
    </row>
    <row r="1310" spans="4:16" x14ac:dyDescent="0.25">
      <c r="D1310" s="2"/>
      <c r="F1310" s="3"/>
      <c r="G1310" s="3"/>
      <c r="H1310" s="3"/>
      <c r="I1310" s="3"/>
      <c r="J1310" s="3"/>
      <c r="K1310" s="3"/>
      <c r="M1310" s="10"/>
      <c r="N1310" s="3"/>
      <c r="O1310" s="3"/>
      <c r="P1310" s="3"/>
    </row>
    <row r="1311" spans="4:16" x14ac:dyDescent="0.25">
      <c r="D1311" s="2"/>
      <c r="F1311" s="3"/>
      <c r="G1311" s="3"/>
      <c r="H1311" s="3"/>
      <c r="I1311" s="3"/>
      <c r="J1311" s="3"/>
      <c r="K1311" s="3"/>
      <c r="M1311" s="10"/>
      <c r="N1311" s="3"/>
      <c r="O1311" s="3"/>
      <c r="P1311" s="3"/>
    </row>
    <row r="1312" spans="4:16" x14ac:dyDescent="0.25">
      <c r="D1312" s="2"/>
      <c r="F1312" s="3"/>
      <c r="G1312" s="3"/>
      <c r="H1312" s="3"/>
      <c r="I1312" s="3"/>
      <c r="J1312" s="3"/>
      <c r="K1312" s="3"/>
      <c r="M1312" s="10"/>
      <c r="N1312" s="3"/>
      <c r="O1312" s="3"/>
      <c r="P1312" s="3"/>
    </row>
    <row r="1313" spans="4:16" x14ac:dyDescent="0.25">
      <c r="D1313" s="2"/>
      <c r="F1313" s="3"/>
      <c r="G1313" s="3"/>
      <c r="H1313" s="3"/>
      <c r="I1313" s="3"/>
      <c r="J1313" s="3"/>
      <c r="K1313" s="3"/>
      <c r="M1313" s="10"/>
      <c r="N1313" s="3"/>
      <c r="O1313" s="3"/>
      <c r="P1313" s="3"/>
    </row>
    <row r="1314" spans="4:16" x14ac:dyDescent="0.25">
      <c r="D1314" s="2"/>
      <c r="F1314" s="3"/>
      <c r="G1314" s="3"/>
      <c r="H1314" s="3"/>
      <c r="I1314" s="3"/>
      <c r="J1314" s="3"/>
      <c r="K1314" s="3"/>
      <c r="M1314" s="10"/>
      <c r="N1314" s="3"/>
      <c r="O1314" s="3"/>
      <c r="P1314" s="3"/>
    </row>
    <row r="1315" spans="4:16" x14ac:dyDescent="0.25">
      <c r="D1315" s="2"/>
      <c r="F1315" s="3"/>
      <c r="G1315" s="3"/>
      <c r="H1315" s="3"/>
      <c r="I1315" s="3"/>
      <c r="J1315" s="3"/>
      <c r="K1315" s="3"/>
      <c r="M1315" s="10"/>
      <c r="N1315" s="3"/>
      <c r="O1315" s="3"/>
      <c r="P1315" s="3"/>
    </row>
    <row r="1316" spans="4:16" x14ac:dyDescent="0.25">
      <c r="D1316" s="2"/>
      <c r="F1316" s="3"/>
      <c r="G1316" s="3"/>
      <c r="H1316" s="3"/>
      <c r="I1316" s="3"/>
      <c r="J1316" s="3"/>
      <c r="K1316" s="3"/>
      <c r="M1316" s="10"/>
      <c r="N1316" s="3"/>
      <c r="O1316" s="3"/>
      <c r="P1316" s="3"/>
    </row>
    <row r="1317" spans="4:16" x14ac:dyDescent="0.25">
      <c r="D1317" s="2"/>
      <c r="F1317" s="3"/>
      <c r="G1317" s="3"/>
      <c r="H1317" s="3"/>
      <c r="I1317" s="3"/>
      <c r="J1317" s="3"/>
      <c r="K1317" s="3"/>
      <c r="M1317" s="10"/>
      <c r="N1317" s="3"/>
      <c r="O1317" s="3"/>
      <c r="P1317" s="3"/>
    </row>
    <row r="1318" spans="4:16" x14ac:dyDescent="0.25">
      <c r="D1318" s="2"/>
      <c r="F1318" s="3"/>
      <c r="G1318" s="3"/>
      <c r="H1318" s="3"/>
      <c r="I1318" s="3"/>
      <c r="J1318" s="3"/>
      <c r="K1318" s="3"/>
      <c r="M1318" s="10"/>
      <c r="N1318" s="3"/>
      <c r="O1318" s="3"/>
      <c r="P1318" s="3"/>
    </row>
    <row r="1319" spans="4:16" x14ac:dyDescent="0.25">
      <c r="D1319" s="2"/>
      <c r="F1319" s="3"/>
      <c r="G1319" s="3"/>
      <c r="H1319" s="3"/>
      <c r="I1319" s="3"/>
      <c r="J1319" s="3"/>
      <c r="K1319" s="3"/>
      <c r="M1319" s="10"/>
      <c r="N1319" s="3"/>
      <c r="O1319" s="3"/>
      <c r="P1319" s="3"/>
    </row>
    <row r="1320" spans="4:16" x14ac:dyDescent="0.25">
      <c r="D1320" s="2"/>
      <c r="F1320" s="3"/>
      <c r="G1320" s="3"/>
      <c r="H1320" s="3"/>
      <c r="I1320" s="3"/>
      <c r="J1320" s="3"/>
      <c r="K1320" s="3"/>
      <c r="M1320" s="10"/>
      <c r="N1320" s="3"/>
      <c r="O1320" s="3"/>
      <c r="P1320" s="3"/>
    </row>
    <row r="1321" spans="4:16" x14ac:dyDescent="0.25">
      <c r="D1321" s="2"/>
      <c r="F1321" s="3"/>
      <c r="G1321" s="3"/>
      <c r="H1321" s="3"/>
      <c r="I1321" s="3"/>
      <c r="J1321" s="3"/>
      <c r="K1321" s="3"/>
      <c r="M1321" s="10"/>
      <c r="N1321" s="3"/>
      <c r="O1321" s="3"/>
      <c r="P1321" s="3"/>
    </row>
    <row r="1322" spans="4:16" x14ac:dyDescent="0.25">
      <c r="D1322" s="2"/>
      <c r="F1322" s="3"/>
      <c r="G1322" s="3"/>
      <c r="H1322" s="3"/>
      <c r="I1322" s="3"/>
      <c r="J1322" s="3"/>
      <c r="K1322" s="3"/>
      <c r="M1322" s="10"/>
      <c r="N1322" s="3"/>
      <c r="O1322" s="3"/>
      <c r="P1322" s="3"/>
    </row>
    <row r="1323" spans="4:16" x14ac:dyDescent="0.25">
      <c r="D1323" s="2"/>
      <c r="F1323" s="3"/>
      <c r="G1323" s="3"/>
      <c r="H1323" s="3"/>
      <c r="I1323" s="3"/>
      <c r="J1323" s="3"/>
      <c r="K1323" s="3"/>
      <c r="M1323" s="10"/>
      <c r="N1323" s="3"/>
      <c r="O1323" s="3"/>
      <c r="P1323" s="3"/>
    </row>
    <row r="1324" spans="4:16" x14ac:dyDescent="0.25">
      <c r="D1324" s="2"/>
      <c r="F1324" s="3"/>
      <c r="G1324" s="3"/>
      <c r="H1324" s="3"/>
      <c r="I1324" s="3"/>
      <c r="J1324" s="3"/>
      <c r="K1324" s="3"/>
      <c r="M1324" s="10"/>
      <c r="N1324" s="3"/>
      <c r="O1324" s="3"/>
      <c r="P1324" s="3"/>
    </row>
    <row r="1325" spans="4:16" x14ac:dyDescent="0.25">
      <c r="D1325" s="2"/>
      <c r="F1325" s="3"/>
      <c r="G1325" s="3"/>
      <c r="H1325" s="3"/>
      <c r="I1325" s="3"/>
      <c r="J1325" s="3"/>
      <c r="K1325" s="3"/>
      <c r="M1325" s="10"/>
      <c r="N1325" s="3"/>
      <c r="O1325" s="3"/>
      <c r="P1325" s="3"/>
    </row>
    <row r="1326" spans="4:16" x14ac:dyDescent="0.25">
      <c r="D1326" s="2"/>
      <c r="F1326" s="3"/>
      <c r="G1326" s="3"/>
      <c r="H1326" s="3"/>
      <c r="I1326" s="3"/>
      <c r="J1326" s="3"/>
      <c r="K1326" s="3"/>
      <c r="M1326" s="10"/>
      <c r="N1326" s="3"/>
      <c r="O1326" s="3"/>
      <c r="P1326" s="3"/>
    </row>
    <row r="1327" spans="4:16" x14ac:dyDescent="0.25">
      <c r="D1327" s="2"/>
      <c r="F1327" s="3"/>
      <c r="G1327" s="3"/>
      <c r="H1327" s="3"/>
      <c r="I1327" s="3"/>
      <c r="J1327" s="3"/>
      <c r="K1327" s="3"/>
      <c r="M1327" s="10"/>
      <c r="N1327" s="3"/>
      <c r="O1327" s="3"/>
      <c r="P1327" s="3"/>
    </row>
    <row r="1328" spans="4:16" x14ac:dyDescent="0.25">
      <c r="D1328" s="2"/>
      <c r="F1328" s="3"/>
      <c r="G1328" s="3"/>
      <c r="H1328" s="3"/>
      <c r="I1328" s="3"/>
      <c r="J1328" s="3"/>
      <c r="K1328" s="3"/>
      <c r="M1328" s="10"/>
      <c r="N1328" s="3"/>
      <c r="O1328" s="3"/>
      <c r="P1328" s="3"/>
    </row>
    <row r="1329" spans="4:16" x14ac:dyDescent="0.25">
      <c r="D1329" s="2"/>
      <c r="F1329" s="3"/>
      <c r="G1329" s="3"/>
      <c r="H1329" s="3"/>
      <c r="I1329" s="3"/>
      <c r="J1329" s="3"/>
      <c r="K1329" s="3"/>
      <c r="M1329" s="10"/>
      <c r="N1329" s="3"/>
      <c r="O1329" s="3"/>
      <c r="P1329" s="3"/>
    </row>
    <row r="1330" spans="4:16" x14ac:dyDescent="0.25">
      <c r="D1330" s="2"/>
      <c r="F1330" s="3"/>
      <c r="G1330" s="3"/>
      <c r="H1330" s="3"/>
      <c r="I1330" s="3"/>
      <c r="J1330" s="3"/>
      <c r="K1330" s="3"/>
      <c r="M1330" s="10"/>
      <c r="N1330" s="3"/>
      <c r="O1330" s="3"/>
      <c r="P1330" s="3"/>
    </row>
    <row r="1331" spans="4:16" x14ac:dyDescent="0.25">
      <c r="D1331" s="2"/>
      <c r="F1331" s="3"/>
      <c r="G1331" s="3"/>
      <c r="H1331" s="3"/>
      <c r="I1331" s="3"/>
      <c r="J1331" s="3"/>
      <c r="K1331" s="3"/>
      <c r="M1331" s="10"/>
      <c r="N1331" s="3"/>
      <c r="O1331" s="3"/>
      <c r="P1331" s="3"/>
    </row>
    <row r="1332" spans="4:16" x14ac:dyDescent="0.25">
      <c r="D1332" s="2"/>
      <c r="F1332" s="3"/>
      <c r="G1332" s="3"/>
      <c r="H1332" s="3"/>
      <c r="I1332" s="3"/>
      <c r="J1332" s="3"/>
      <c r="K1332" s="3"/>
      <c r="M1332" s="10"/>
      <c r="N1332" s="3"/>
      <c r="O1332" s="3"/>
      <c r="P1332" s="3"/>
    </row>
    <row r="1333" spans="4:16" x14ac:dyDescent="0.25">
      <c r="D1333" s="2"/>
      <c r="F1333" s="3"/>
      <c r="G1333" s="3"/>
      <c r="H1333" s="3"/>
      <c r="I1333" s="3"/>
      <c r="J1333" s="3"/>
      <c r="K1333" s="3"/>
      <c r="M1333" s="10"/>
      <c r="N1333" s="3"/>
      <c r="O1333" s="3"/>
      <c r="P1333" s="3"/>
    </row>
    <row r="1334" spans="4:16" x14ac:dyDescent="0.25">
      <c r="D1334" s="2"/>
      <c r="F1334" s="3"/>
      <c r="G1334" s="3"/>
      <c r="H1334" s="3"/>
      <c r="I1334" s="3"/>
      <c r="J1334" s="3"/>
      <c r="K1334" s="3"/>
      <c r="M1334" s="10"/>
      <c r="N1334" s="3"/>
      <c r="O1334" s="3"/>
      <c r="P1334" s="3"/>
    </row>
    <row r="1335" spans="4:16" x14ac:dyDescent="0.25">
      <c r="D1335" s="2"/>
      <c r="F1335" s="3"/>
      <c r="G1335" s="3"/>
      <c r="H1335" s="3"/>
      <c r="I1335" s="3"/>
      <c r="J1335" s="3"/>
      <c r="K1335" s="3"/>
      <c r="M1335" s="10"/>
      <c r="N1335" s="3"/>
      <c r="O1335" s="3"/>
      <c r="P1335" s="3"/>
    </row>
    <row r="1336" spans="4:16" x14ac:dyDescent="0.25">
      <c r="D1336" s="2"/>
      <c r="F1336" s="3"/>
      <c r="G1336" s="3"/>
      <c r="H1336" s="3"/>
      <c r="I1336" s="3"/>
      <c r="J1336" s="3"/>
      <c r="K1336" s="3"/>
      <c r="M1336" s="10"/>
      <c r="N1336" s="3"/>
      <c r="O1336" s="3"/>
      <c r="P1336" s="3"/>
    </row>
    <row r="1337" spans="4:16" x14ac:dyDescent="0.25">
      <c r="D1337" s="2"/>
      <c r="F1337" s="3"/>
      <c r="G1337" s="3"/>
      <c r="H1337" s="3"/>
      <c r="I1337" s="3"/>
      <c r="J1337" s="3"/>
      <c r="K1337" s="3"/>
      <c r="M1337" s="10"/>
      <c r="N1337" s="3"/>
      <c r="O1337" s="3"/>
      <c r="P1337" s="3"/>
    </row>
    <row r="1338" spans="4:16" x14ac:dyDescent="0.25">
      <c r="D1338" s="2"/>
      <c r="F1338" s="3"/>
      <c r="G1338" s="3"/>
      <c r="H1338" s="3"/>
      <c r="I1338" s="3"/>
      <c r="J1338" s="3"/>
      <c r="K1338" s="3"/>
      <c r="M1338" s="10"/>
      <c r="N1338" s="3"/>
      <c r="O1338" s="3"/>
      <c r="P1338" s="3"/>
    </row>
    <row r="1339" spans="4:16" x14ac:dyDescent="0.25">
      <c r="D1339" s="2"/>
      <c r="F1339" s="3"/>
      <c r="G1339" s="3"/>
      <c r="H1339" s="3"/>
      <c r="I1339" s="3"/>
      <c r="J1339" s="3"/>
      <c r="K1339" s="3"/>
      <c r="M1339" s="10"/>
      <c r="N1339" s="3"/>
      <c r="O1339" s="3"/>
      <c r="P1339" s="3"/>
    </row>
    <row r="1340" spans="4:16" x14ac:dyDescent="0.25">
      <c r="D1340" s="2"/>
      <c r="F1340" s="3"/>
      <c r="G1340" s="3"/>
      <c r="H1340" s="3"/>
      <c r="I1340" s="3"/>
      <c r="J1340" s="3"/>
      <c r="K1340" s="3"/>
      <c r="M1340" s="10"/>
      <c r="N1340" s="3"/>
      <c r="O1340" s="3"/>
      <c r="P1340" s="3"/>
    </row>
    <row r="1341" spans="4:16" x14ac:dyDescent="0.25">
      <c r="D1341" s="2"/>
      <c r="F1341" s="3"/>
      <c r="G1341" s="3"/>
      <c r="H1341" s="3"/>
      <c r="I1341" s="3"/>
      <c r="J1341" s="3"/>
      <c r="K1341" s="3"/>
      <c r="M1341" s="10"/>
      <c r="N1341" s="3"/>
      <c r="O1341" s="3"/>
      <c r="P1341" s="3"/>
    </row>
    <row r="1342" spans="4:16" x14ac:dyDescent="0.25">
      <c r="D1342" s="2"/>
      <c r="F1342" s="3"/>
      <c r="G1342" s="3"/>
      <c r="H1342" s="3"/>
      <c r="I1342" s="3"/>
      <c r="J1342" s="3"/>
      <c r="K1342" s="3"/>
      <c r="M1342" s="10"/>
      <c r="N1342" s="3"/>
      <c r="O1342" s="3"/>
      <c r="P1342" s="3"/>
    </row>
    <row r="1343" spans="4:16" x14ac:dyDescent="0.25">
      <c r="D1343" s="2"/>
      <c r="F1343" s="3"/>
      <c r="G1343" s="3"/>
      <c r="H1343" s="3"/>
      <c r="I1343" s="3"/>
      <c r="J1343" s="3"/>
      <c r="K1343" s="3"/>
      <c r="M1343" s="10"/>
      <c r="N1343" s="3"/>
      <c r="O1343" s="3"/>
      <c r="P1343" s="3"/>
    </row>
    <row r="1344" spans="4:16" x14ac:dyDescent="0.25">
      <c r="D1344" s="2"/>
      <c r="F1344" s="3"/>
      <c r="G1344" s="3"/>
      <c r="H1344" s="3"/>
      <c r="I1344" s="3"/>
      <c r="J1344" s="3"/>
      <c r="K1344" s="3"/>
      <c r="M1344" s="10"/>
      <c r="N1344" s="3"/>
      <c r="O1344" s="3"/>
      <c r="P1344" s="3"/>
    </row>
    <row r="1345" spans="4:16" x14ac:dyDescent="0.25">
      <c r="D1345" s="2"/>
      <c r="F1345" s="3"/>
      <c r="G1345" s="3"/>
      <c r="H1345" s="3"/>
      <c r="I1345" s="3"/>
      <c r="J1345" s="3"/>
      <c r="K1345" s="3"/>
      <c r="M1345" s="10"/>
      <c r="N1345" s="3"/>
      <c r="O1345" s="3"/>
      <c r="P1345" s="3"/>
    </row>
    <row r="1346" spans="4:16" x14ac:dyDescent="0.25">
      <c r="D1346" s="2"/>
      <c r="F1346" s="3"/>
      <c r="G1346" s="3"/>
      <c r="H1346" s="3"/>
      <c r="I1346" s="3"/>
      <c r="J1346" s="3"/>
      <c r="K1346" s="3"/>
      <c r="M1346" s="10"/>
      <c r="N1346" s="3"/>
      <c r="O1346" s="3"/>
      <c r="P1346" s="3"/>
    </row>
    <row r="1347" spans="4:16" x14ac:dyDescent="0.25">
      <c r="D1347" s="2"/>
      <c r="F1347" s="3"/>
      <c r="G1347" s="3"/>
      <c r="H1347" s="3"/>
      <c r="I1347" s="3"/>
      <c r="J1347" s="3"/>
      <c r="K1347" s="3"/>
      <c r="M1347" s="10"/>
      <c r="N1347" s="3"/>
      <c r="O1347" s="3"/>
      <c r="P1347" s="3"/>
    </row>
    <row r="1348" spans="4:16" x14ac:dyDescent="0.25">
      <c r="D1348" s="2"/>
      <c r="F1348" s="3"/>
      <c r="G1348" s="3"/>
      <c r="H1348" s="3"/>
      <c r="I1348" s="3"/>
      <c r="J1348" s="3"/>
      <c r="K1348" s="3"/>
      <c r="M1348" s="10"/>
      <c r="N1348" s="3"/>
      <c r="O1348" s="3"/>
      <c r="P1348" s="3"/>
    </row>
    <row r="1349" spans="4:16" x14ac:dyDescent="0.25">
      <c r="D1349" s="2"/>
      <c r="F1349" s="3"/>
      <c r="G1349" s="3"/>
      <c r="H1349" s="3"/>
      <c r="I1349" s="3"/>
      <c r="J1349" s="3"/>
      <c r="K1349" s="3"/>
      <c r="M1349" s="10"/>
      <c r="N1349" s="3"/>
      <c r="O1349" s="3"/>
      <c r="P1349" s="3"/>
    </row>
    <row r="1350" spans="4:16" x14ac:dyDescent="0.25">
      <c r="D1350" s="2"/>
      <c r="F1350" s="3"/>
      <c r="G1350" s="3"/>
      <c r="H1350" s="3"/>
      <c r="I1350" s="3"/>
      <c r="J1350" s="3"/>
      <c r="K1350" s="3"/>
      <c r="M1350" s="10"/>
      <c r="N1350" s="3"/>
      <c r="O1350" s="3"/>
      <c r="P1350" s="3"/>
    </row>
    <row r="1351" spans="4:16" x14ac:dyDescent="0.25">
      <c r="D1351" s="2"/>
      <c r="F1351" s="3"/>
      <c r="G1351" s="3"/>
      <c r="H1351" s="3"/>
      <c r="I1351" s="3"/>
      <c r="J1351" s="3"/>
      <c r="K1351" s="3"/>
      <c r="M1351" s="10"/>
      <c r="N1351" s="3"/>
      <c r="O1351" s="3"/>
      <c r="P1351" s="3"/>
    </row>
    <row r="1352" spans="4:16" x14ac:dyDescent="0.25">
      <c r="D1352" s="2"/>
      <c r="F1352" s="3"/>
      <c r="G1352" s="3"/>
      <c r="H1352" s="3"/>
      <c r="I1352" s="3"/>
      <c r="J1352" s="3"/>
      <c r="K1352" s="3"/>
      <c r="M1352" s="10"/>
      <c r="N1352" s="3"/>
      <c r="O1352" s="3"/>
      <c r="P1352" s="3"/>
    </row>
    <row r="1353" spans="4:16" x14ac:dyDescent="0.25">
      <c r="D1353" s="2"/>
      <c r="F1353" s="3"/>
      <c r="G1353" s="3"/>
      <c r="H1353" s="3"/>
      <c r="I1353" s="3"/>
      <c r="J1353" s="3"/>
      <c r="K1353" s="3"/>
      <c r="M1353" s="10"/>
      <c r="N1353" s="3"/>
      <c r="O1353" s="3"/>
      <c r="P1353" s="3"/>
    </row>
    <row r="1354" spans="4:16" x14ac:dyDescent="0.25">
      <c r="D1354" s="2"/>
      <c r="F1354" s="3"/>
      <c r="G1354" s="3"/>
      <c r="H1354" s="3"/>
      <c r="I1354" s="3"/>
      <c r="J1354" s="3"/>
      <c r="K1354" s="3"/>
      <c r="M1354" s="10"/>
      <c r="N1354" s="3"/>
      <c r="O1354" s="3"/>
      <c r="P1354" s="3"/>
    </row>
    <row r="1355" spans="4:16" x14ac:dyDescent="0.25">
      <c r="D1355" s="2"/>
      <c r="F1355" s="3"/>
      <c r="G1355" s="3"/>
      <c r="H1355" s="3"/>
      <c r="I1355" s="3"/>
      <c r="J1355" s="3"/>
      <c r="K1355" s="3"/>
      <c r="M1355" s="10"/>
      <c r="N1355" s="3"/>
      <c r="O1355" s="3"/>
      <c r="P1355" s="3"/>
    </row>
    <row r="1356" spans="4:16" x14ac:dyDescent="0.25">
      <c r="D1356" s="2"/>
      <c r="F1356" s="3"/>
      <c r="G1356" s="3"/>
      <c r="H1356" s="3"/>
      <c r="I1356" s="3"/>
      <c r="J1356" s="3"/>
      <c r="K1356" s="3"/>
      <c r="M1356" s="10"/>
      <c r="N1356" s="3"/>
      <c r="O1356" s="3"/>
      <c r="P1356" s="3"/>
    </row>
    <row r="1357" spans="4:16" x14ac:dyDescent="0.25">
      <c r="D1357" s="2"/>
      <c r="F1357" s="3"/>
      <c r="G1357" s="3"/>
      <c r="H1357" s="3"/>
      <c r="I1357" s="3"/>
      <c r="J1357" s="3"/>
      <c r="K1357" s="3"/>
      <c r="M1357" s="10"/>
      <c r="N1357" s="3"/>
      <c r="O1357" s="3"/>
      <c r="P1357" s="3"/>
    </row>
    <row r="1358" spans="4:16" x14ac:dyDescent="0.25">
      <c r="D1358" s="2"/>
      <c r="F1358" s="3"/>
      <c r="G1358" s="3"/>
      <c r="H1358" s="3"/>
      <c r="I1358" s="3"/>
      <c r="J1358" s="3"/>
      <c r="K1358" s="3"/>
      <c r="M1358" s="10"/>
      <c r="N1358" s="3"/>
      <c r="O1358" s="3"/>
      <c r="P1358" s="3"/>
    </row>
    <row r="1359" spans="4:16" x14ac:dyDescent="0.25">
      <c r="D1359" s="2"/>
      <c r="F1359" s="3"/>
      <c r="G1359" s="3"/>
      <c r="H1359" s="3"/>
      <c r="I1359" s="3"/>
      <c r="J1359" s="3"/>
      <c r="K1359" s="3"/>
      <c r="M1359" s="10"/>
      <c r="N1359" s="3"/>
      <c r="O1359" s="3"/>
      <c r="P1359" s="3"/>
    </row>
    <row r="1360" spans="4:16" x14ac:dyDescent="0.25">
      <c r="D1360" s="2"/>
      <c r="F1360" s="3"/>
      <c r="G1360" s="3"/>
      <c r="H1360" s="3"/>
      <c r="I1360" s="3"/>
      <c r="J1360" s="3"/>
      <c r="K1360" s="3"/>
      <c r="M1360" s="10"/>
      <c r="N1360" s="3"/>
      <c r="O1360" s="3"/>
      <c r="P1360" s="3"/>
    </row>
    <row r="1361" spans="4:16" x14ac:dyDescent="0.25">
      <c r="D1361" s="2"/>
      <c r="F1361" s="3"/>
      <c r="G1361" s="3"/>
      <c r="H1361" s="3"/>
      <c r="I1361" s="3"/>
      <c r="J1361" s="3"/>
      <c r="K1361" s="3"/>
      <c r="M1361" s="10"/>
      <c r="N1361" s="3"/>
      <c r="O1361" s="3"/>
      <c r="P1361" s="3"/>
    </row>
    <row r="1362" spans="4:16" x14ac:dyDescent="0.25">
      <c r="D1362" s="2"/>
      <c r="F1362" s="3"/>
      <c r="G1362" s="3"/>
      <c r="H1362" s="3"/>
      <c r="I1362" s="3"/>
      <c r="J1362" s="3"/>
      <c r="K1362" s="3"/>
      <c r="M1362" s="10"/>
      <c r="N1362" s="3"/>
      <c r="O1362" s="3"/>
      <c r="P1362" s="3"/>
    </row>
    <row r="1363" spans="4:16" x14ac:dyDescent="0.25">
      <c r="D1363" s="2"/>
      <c r="F1363" s="3"/>
      <c r="G1363" s="3"/>
      <c r="H1363" s="3"/>
      <c r="I1363" s="3"/>
      <c r="J1363" s="3"/>
      <c r="K1363" s="3"/>
      <c r="M1363" s="10"/>
      <c r="N1363" s="3"/>
      <c r="O1363" s="3"/>
      <c r="P1363" s="3"/>
    </row>
    <row r="1364" spans="4:16" x14ac:dyDescent="0.25">
      <c r="D1364" s="2"/>
      <c r="F1364" s="3"/>
      <c r="G1364" s="3"/>
      <c r="H1364" s="3"/>
      <c r="I1364" s="3"/>
      <c r="J1364" s="3"/>
      <c r="K1364" s="3"/>
      <c r="M1364" s="10"/>
      <c r="N1364" s="3"/>
      <c r="O1364" s="3"/>
      <c r="P1364" s="3"/>
    </row>
    <row r="1365" spans="4:16" x14ac:dyDescent="0.25">
      <c r="D1365" s="2"/>
      <c r="F1365" s="3"/>
      <c r="G1365" s="3"/>
      <c r="H1365" s="3"/>
      <c r="I1365" s="3"/>
      <c r="J1365" s="3"/>
      <c r="K1365" s="3"/>
      <c r="M1365" s="10"/>
      <c r="N1365" s="3"/>
      <c r="O1365" s="3"/>
      <c r="P1365" s="3"/>
    </row>
    <row r="1366" spans="4:16" x14ac:dyDescent="0.25">
      <c r="D1366" s="2"/>
      <c r="F1366" s="3"/>
      <c r="G1366" s="3"/>
      <c r="H1366" s="3"/>
      <c r="I1366" s="3"/>
      <c r="J1366" s="3"/>
      <c r="K1366" s="3"/>
      <c r="M1366" s="10"/>
      <c r="N1366" s="3"/>
      <c r="O1366" s="3"/>
      <c r="P1366" s="3"/>
    </row>
    <row r="1367" spans="4:16" x14ac:dyDescent="0.25">
      <c r="D1367" s="2"/>
      <c r="F1367" s="3"/>
      <c r="G1367" s="3"/>
      <c r="H1367" s="3"/>
      <c r="I1367" s="3"/>
      <c r="J1367" s="3"/>
      <c r="K1367" s="3"/>
      <c r="M1367" s="10"/>
      <c r="N1367" s="3"/>
      <c r="O1367" s="3"/>
      <c r="P1367" s="3"/>
    </row>
    <row r="1368" spans="4:16" x14ac:dyDescent="0.25">
      <c r="D1368" s="2"/>
      <c r="F1368" s="3"/>
      <c r="G1368" s="3"/>
      <c r="H1368" s="3"/>
      <c r="I1368" s="3"/>
      <c r="J1368" s="3"/>
      <c r="K1368" s="3"/>
      <c r="M1368" s="10"/>
      <c r="N1368" s="3"/>
      <c r="O1368" s="3"/>
      <c r="P1368" s="3"/>
    </row>
    <row r="1369" spans="4:16" x14ac:dyDescent="0.25">
      <c r="D1369" s="2"/>
      <c r="F1369" s="3"/>
      <c r="G1369" s="3"/>
      <c r="H1369" s="3"/>
      <c r="I1369" s="3"/>
      <c r="J1369" s="3"/>
      <c r="K1369" s="3"/>
      <c r="M1369" s="10"/>
      <c r="N1369" s="3"/>
      <c r="O1369" s="3"/>
      <c r="P1369" s="3"/>
    </row>
    <row r="1370" spans="4:16" x14ac:dyDescent="0.25">
      <c r="D1370" s="2"/>
      <c r="F1370" s="3"/>
      <c r="G1370" s="3"/>
      <c r="H1370" s="3"/>
      <c r="I1370" s="3"/>
      <c r="J1370" s="3"/>
      <c r="K1370" s="3"/>
      <c r="M1370" s="10"/>
      <c r="N1370" s="3"/>
      <c r="O1370" s="3"/>
      <c r="P1370" s="3"/>
    </row>
    <row r="1371" spans="4:16" x14ac:dyDescent="0.25">
      <c r="D1371" s="2"/>
      <c r="F1371" s="3"/>
      <c r="G1371" s="3"/>
      <c r="H1371" s="3"/>
      <c r="I1371" s="3"/>
      <c r="J1371" s="3"/>
      <c r="K1371" s="3"/>
      <c r="M1371" s="10"/>
      <c r="N1371" s="3"/>
      <c r="O1371" s="3"/>
      <c r="P1371" s="3"/>
    </row>
    <row r="1372" spans="4:16" x14ac:dyDescent="0.25">
      <c r="D1372" s="2"/>
      <c r="F1372" s="3"/>
      <c r="G1372" s="3"/>
      <c r="H1372" s="3"/>
      <c r="I1372" s="3"/>
      <c r="J1372" s="3"/>
      <c r="K1372" s="3"/>
      <c r="M1372" s="10"/>
      <c r="N1372" s="3"/>
      <c r="O1372" s="3"/>
      <c r="P1372" s="3"/>
    </row>
    <row r="1373" spans="4:16" x14ac:dyDescent="0.25">
      <c r="D1373" s="2"/>
      <c r="F1373" s="3"/>
      <c r="G1373" s="3"/>
      <c r="H1373" s="3"/>
      <c r="I1373" s="3"/>
      <c r="J1373" s="3"/>
      <c r="K1373" s="3"/>
      <c r="M1373" s="10"/>
      <c r="N1373" s="3"/>
      <c r="O1373" s="3"/>
      <c r="P1373" s="3"/>
    </row>
    <row r="1374" spans="4:16" x14ac:dyDescent="0.25">
      <c r="D1374" s="2"/>
      <c r="F1374" s="3"/>
      <c r="G1374" s="3"/>
      <c r="H1374" s="3"/>
      <c r="I1374" s="3"/>
      <c r="J1374" s="3"/>
      <c r="K1374" s="3"/>
      <c r="M1374" s="10"/>
      <c r="N1374" s="3"/>
      <c r="O1374" s="3"/>
      <c r="P1374" s="3"/>
    </row>
    <row r="1375" spans="4:16" x14ac:dyDescent="0.25">
      <c r="D1375" s="2"/>
      <c r="F1375" s="3"/>
      <c r="G1375" s="3"/>
      <c r="H1375" s="3"/>
      <c r="I1375" s="3"/>
      <c r="J1375" s="3"/>
      <c r="K1375" s="3"/>
      <c r="M1375" s="10"/>
      <c r="N1375" s="3"/>
      <c r="O1375" s="3"/>
      <c r="P1375" s="3"/>
    </row>
    <row r="1376" spans="4:16" x14ac:dyDescent="0.25">
      <c r="D1376" s="2"/>
      <c r="F1376" s="3"/>
      <c r="G1376" s="3"/>
      <c r="H1376" s="3"/>
      <c r="I1376" s="3"/>
      <c r="J1376" s="3"/>
      <c r="K1376" s="3"/>
      <c r="M1376" s="10"/>
      <c r="N1376" s="3"/>
      <c r="O1376" s="3"/>
      <c r="P1376" s="3"/>
    </row>
    <row r="1377" spans="4:16" x14ac:dyDescent="0.25">
      <c r="D1377" s="2"/>
      <c r="F1377" s="3"/>
      <c r="G1377" s="3"/>
      <c r="H1377" s="3"/>
      <c r="I1377" s="3"/>
      <c r="J1377" s="3"/>
      <c r="K1377" s="3"/>
      <c r="M1377" s="10"/>
      <c r="N1377" s="3"/>
      <c r="O1377" s="3"/>
      <c r="P1377" s="3"/>
    </row>
    <row r="1378" spans="4:16" x14ac:dyDescent="0.25">
      <c r="D1378" s="2"/>
      <c r="F1378" s="3"/>
      <c r="G1378" s="3"/>
      <c r="H1378" s="3"/>
      <c r="I1378" s="3"/>
      <c r="J1378" s="3"/>
      <c r="K1378" s="3"/>
      <c r="M1378" s="10"/>
      <c r="N1378" s="3"/>
      <c r="O1378" s="3"/>
      <c r="P1378" s="3"/>
    </row>
    <row r="1379" spans="4:16" x14ac:dyDescent="0.25">
      <c r="D1379" s="2"/>
      <c r="F1379" s="3"/>
      <c r="G1379" s="3"/>
      <c r="H1379" s="3"/>
      <c r="I1379" s="3"/>
      <c r="J1379" s="3"/>
      <c r="K1379" s="3"/>
      <c r="M1379" s="10"/>
      <c r="N1379" s="3"/>
      <c r="O1379" s="3"/>
      <c r="P1379" s="3"/>
    </row>
    <row r="1380" spans="4:16" x14ac:dyDescent="0.25">
      <c r="D1380" s="2"/>
      <c r="F1380" s="3"/>
      <c r="G1380" s="3"/>
      <c r="H1380" s="3"/>
      <c r="I1380" s="3"/>
      <c r="J1380" s="3"/>
      <c r="K1380" s="3"/>
      <c r="M1380" s="10"/>
      <c r="N1380" s="3"/>
      <c r="O1380" s="3"/>
      <c r="P1380" s="3"/>
    </row>
    <row r="1381" spans="4:16" x14ac:dyDescent="0.25">
      <c r="D1381" s="2"/>
      <c r="F1381" s="3"/>
      <c r="G1381" s="3"/>
      <c r="H1381" s="3"/>
      <c r="I1381" s="3"/>
      <c r="J1381" s="3"/>
      <c r="K1381" s="3"/>
      <c r="M1381" s="10"/>
      <c r="N1381" s="3"/>
      <c r="O1381" s="3"/>
      <c r="P1381" s="3"/>
    </row>
    <row r="1382" spans="4:16" x14ac:dyDescent="0.25">
      <c r="D1382" s="2"/>
      <c r="F1382" s="3"/>
      <c r="G1382" s="3"/>
      <c r="H1382" s="3"/>
      <c r="I1382" s="3"/>
      <c r="J1382" s="3"/>
      <c r="K1382" s="3"/>
      <c r="M1382" s="10"/>
      <c r="N1382" s="3"/>
      <c r="O1382" s="3"/>
      <c r="P1382" s="3"/>
    </row>
    <row r="1383" spans="4:16" x14ac:dyDescent="0.25">
      <c r="D1383" s="2"/>
      <c r="F1383" s="3"/>
      <c r="G1383" s="3"/>
      <c r="H1383" s="3"/>
      <c r="I1383" s="3"/>
      <c r="J1383" s="3"/>
      <c r="K1383" s="3"/>
      <c r="M1383" s="10"/>
      <c r="N1383" s="3"/>
      <c r="O1383" s="3"/>
      <c r="P1383" s="3"/>
    </row>
    <row r="1384" spans="4:16" x14ac:dyDescent="0.25">
      <c r="D1384" s="2"/>
      <c r="F1384" s="3"/>
      <c r="G1384" s="3"/>
      <c r="H1384" s="3"/>
      <c r="I1384" s="3"/>
      <c r="J1384" s="3"/>
      <c r="K1384" s="3"/>
      <c r="M1384" s="10"/>
      <c r="N1384" s="3"/>
      <c r="O1384" s="3"/>
      <c r="P1384" s="3"/>
    </row>
    <row r="1385" spans="4:16" x14ac:dyDescent="0.25">
      <c r="D1385" s="2"/>
      <c r="F1385" s="3"/>
      <c r="G1385" s="3"/>
      <c r="H1385" s="3"/>
      <c r="I1385" s="3"/>
      <c r="J1385" s="3"/>
      <c r="K1385" s="3"/>
      <c r="M1385" s="10"/>
      <c r="N1385" s="3"/>
      <c r="O1385" s="3"/>
      <c r="P1385" s="3"/>
    </row>
    <row r="1386" spans="4:16" x14ac:dyDescent="0.25">
      <c r="D1386" s="2"/>
      <c r="F1386" s="3"/>
      <c r="G1386" s="3"/>
      <c r="H1386" s="3"/>
      <c r="I1386" s="3"/>
      <c r="J1386" s="3"/>
      <c r="K1386" s="3"/>
      <c r="M1386" s="10"/>
      <c r="N1386" s="3"/>
      <c r="O1386" s="3"/>
      <c r="P1386" s="3"/>
    </row>
    <row r="1387" spans="4:16" x14ac:dyDescent="0.25">
      <c r="D1387" s="2"/>
      <c r="F1387" s="3"/>
      <c r="G1387" s="3"/>
      <c r="H1387" s="3"/>
      <c r="I1387" s="3"/>
      <c r="J1387" s="3"/>
      <c r="K1387" s="3"/>
      <c r="M1387" s="10"/>
      <c r="N1387" s="3"/>
      <c r="O1387" s="3"/>
      <c r="P1387" s="3"/>
    </row>
    <row r="1388" spans="4:16" x14ac:dyDescent="0.25">
      <c r="D1388" s="2"/>
      <c r="F1388" s="3"/>
      <c r="G1388" s="3"/>
      <c r="H1388" s="3"/>
      <c r="I1388" s="3"/>
      <c r="J1388" s="3"/>
      <c r="K1388" s="3"/>
      <c r="M1388" s="10"/>
      <c r="N1388" s="3"/>
      <c r="O1388" s="3"/>
      <c r="P1388" s="3"/>
    </row>
    <row r="1389" spans="4:16" x14ac:dyDescent="0.25">
      <c r="D1389" s="2"/>
      <c r="F1389" s="3"/>
      <c r="G1389" s="3"/>
      <c r="H1389" s="3"/>
      <c r="I1389" s="3"/>
      <c r="J1389" s="3"/>
      <c r="K1389" s="3"/>
      <c r="M1389" s="10"/>
      <c r="N1389" s="3"/>
      <c r="O1389" s="3"/>
      <c r="P1389" s="3"/>
    </row>
    <row r="1390" spans="4:16" x14ac:dyDescent="0.25">
      <c r="D1390" s="2"/>
      <c r="F1390" s="3"/>
      <c r="G1390" s="3"/>
      <c r="H1390" s="3"/>
      <c r="I1390" s="3"/>
      <c r="J1390" s="3"/>
      <c r="K1390" s="3"/>
      <c r="M1390" s="10"/>
      <c r="N1390" s="3"/>
      <c r="O1390" s="3"/>
      <c r="P1390" s="3"/>
    </row>
    <row r="1391" spans="4:16" x14ac:dyDescent="0.25">
      <c r="D1391" s="2"/>
      <c r="F1391" s="3"/>
      <c r="G1391" s="3"/>
      <c r="H1391" s="3"/>
      <c r="I1391" s="3"/>
      <c r="J1391" s="3"/>
      <c r="K1391" s="3"/>
      <c r="M1391" s="10"/>
      <c r="N1391" s="3"/>
      <c r="O1391" s="3"/>
      <c r="P1391" s="3"/>
    </row>
    <row r="1392" spans="4:16" x14ac:dyDescent="0.25">
      <c r="D1392" s="2"/>
      <c r="F1392" s="3"/>
      <c r="G1392" s="3"/>
      <c r="H1392" s="3"/>
      <c r="I1392" s="3"/>
      <c r="J1392" s="3"/>
      <c r="K1392" s="3"/>
      <c r="M1392" s="10"/>
      <c r="N1392" s="3"/>
      <c r="O1392" s="3"/>
      <c r="P1392" s="3"/>
    </row>
    <row r="1393" spans="4:16" x14ac:dyDescent="0.25">
      <c r="D1393" s="2"/>
      <c r="F1393" s="3"/>
      <c r="G1393" s="3"/>
      <c r="H1393" s="3"/>
      <c r="I1393" s="3"/>
      <c r="J1393" s="3"/>
      <c r="K1393" s="3"/>
      <c r="M1393" s="10"/>
      <c r="N1393" s="3"/>
      <c r="O1393" s="3"/>
      <c r="P1393" s="3"/>
    </row>
    <row r="1394" spans="4:16" x14ac:dyDescent="0.25">
      <c r="D1394" s="2"/>
      <c r="F1394" s="3"/>
      <c r="G1394" s="3"/>
      <c r="H1394" s="3"/>
      <c r="I1394" s="3"/>
      <c r="J1394" s="3"/>
      <c r="K1394" s="3"/>
      <c r="M1394" s="10"/>
      <c r="N1394" s="3"/>
      <c r="O1394" s="3"/>
      <c r="P1394" s="3"/>
    </row>
    <row r="1395" spans="4:16" x14ac:dyDescent="0.25">
      <c r="D1395" s="2"/>
      <c r="F1395" s="3"/>
      <c r="G1395" s="3"/>
      <c r="H1395" s="3"/>
      <c r="I1395" s="3"/>
      <c r="J1395" s="3"/>
      <c r="K1395" s="3"/>
      <c r="M1395" s="10"/>
      <c r="N1395" s="3"/>
      <c r="O1395" s="3"/>
      <c r="P1395" s="3"/>
    </row>
    <row r="1396" spans="4:16" x14ac:dyDescent="0.25">
      <c r="D1396" s="2"/>
      <c r="F1396" s="3"/>
      <c r="G1396" s="3"/>
      <c r="H1396" s="3"/>
      <c r="I1396" s="3"/>
      <c r="J1396" s="3"/>
      <c r="K1396" s="3"/>
      <c r="M1396" s="10"/>
      <c r="N1396" s="3"/>
      <c r="O1396" s="3"/>
      <c r="P1396" s="3"/>
    </row>
    <row r="1397" spans="4:16" x14ac:dyDescent="0.25">
      <c r="D1397" s="2"/>
      <c r="F1397" s="3"/>
      <c r="G1397" s="3"/>
      <c r="H1397" s="3"/>
      <c r="I1397" s="3"/>
      <c r="J1397" s="3"/>
      <c r="K1397" s="3"/>
      <c r="M1397" s="10"/>
      <c r="N1397" s="3"/>
      <c r="O1397" s="3"/>
      <c r="P1397" s="3"/>
    </row>
    <row r="1398" spans="4:16" x14ac:dyDescent="0.25">
      <c r="D1398" s="2"/>
      <c r="F1398" s="3"/>
      <c r="G1398" s="3"/>
      <c r="H1398" s="3"/>
      <c r="I1398" s="3"/>
      <c r="J1398" s="3"/>
      <c r="K1398" s="3"/>
      <c r="M1398" s="10"/>
      <c r="N1398" s="3"/>
      <c r="O1398" s="3"/>
      <c r="P1398" s="3"/>
    </row>
    <row r="1399" spans="4:16" x14ac:dyDescent="0.25">
      <c r="D1399" s="2"/>
      <c r="F1399" s="3"/>
      <c r="G1399" s="3"/>
      <c r="H1399" s="3"/>
      <c r="I1399" s="3"/>
      <c r="J1399" s="3"/>
      <c r="K1399" s="3"/>
      <c r="M1399" s="10"/>
      <c r="N1399" s="3"/>
      <c r="O1399" s="3"/>
      <c r="P1399" s="3"/>
    </row>
    <row r="1400" spans="4:16" x14ac:dyDescent="0.25">
      <c r="D1400" s="2"/>
      <c r="F1400" s="3"/>
      <c r="G1400" s="3"/>
      <c r="H1400" s="3"/>
      <c r="I1400" s="3"/>
      <c r="J1400" s="3"/>
      <c r="K1400" s="3"/>
      <c r="M1400" s="10"/>
      <c r="N1400" s="3"/>
      <c r="O1400" s="3"/>
      <c r="P1400" s="3"/>
    </row>
    <row r="1401" spans="4:16" x14ac:dyDescent="0.25">
      <c r="D1401" s="2"/>
      <c r="F1401" s="3"/>
      <c r="G1401" s="3"/>
      <c r="H1401" s="3"/>
      <c r="I1401" s="3"/>
      <c r="J1401" s="3"/>
      <c r="K1401" s="3"/>
      <c r="M1401" s="10"/>
      <c r="N1401" s="3"/>
      <c r="O1401" s="3"/>
      <c r="P1401" s="3"/>
    </row>
    <row r="1402" spans="4:16" x14ac:dyDescent="0.25">
      <c r="D1402" s="2"/>
      <c r="F1402" s="3"/>
      <c r="G1402" s="3"/>
      <c r="H1402" s="3"/>
      <c r="I1402" s="3"/>
      <c r="J1402" s="3"/>
      <c r="K1402" s="3"/>
      <c r="M1402" s="10"/>
      <c r="N1402" s="3"/>
      <c r="O1402" s="3"/>
      <c r="P1402" s="3"/>
    </row>
    <row r="1403" spans="4:16" x14ac:dyDescent="0.25">
      <c r="D1403" s="2"/>
      <c r="F1403" s="3"/>
      <c r="G1403" s="3"/>
      <c r="H1403" s="3"/>
      <c r="I1403" s="3"/>
      <c r="J1403" s="3"/>
      <c r="K1403" s="3"/>
      <c r="M1403" s="10"/>
      <c r="N1403" s="3"/>
      <c r="O1403" s="3"/>
      <c r="P1403" s="3"/>
    </row>
    <row r="1404" spans="4:16" x14ac:dyDescent="0.25">
      <c r="D1404" s="2"/>
      <c r="F1404" s="3"/>
      <c r="G1404" s="3"/>
      <c r="H1404" s="3"/>
      <c r="I1404" s="3"/>
      <c r="J1404" s="3"/>
      <c r="K1404" s="3"/>
      <c r="M1404" s="10"/>
      <c r="N1404" s="3"/>
      <c r="O1404" s="3"/>
      <c r="P1404" s="3"/>
    </row>
    <row r="1405" spans="4:16" x14ac:dyDescent="0.25">
      <c r="D1405" s="2"/>
      <c r="F1405" s="3"/>
      <c r="G1405" s="3"/>
      <c r="H1405" s="3"/>
      <c r="I1405" s="3"/>
      <c r="J1405" s="3"/>
      <c r="K1405" s="3"/>
      <c r="M1405" s="10"/>
      <c r="N1405" s="3"/>
      <c r="O1405" s="3"/>
      <c r="P1405" s="3"/>
    </row>
    <row r="1406" spans="4:16" x14ac:dyDescent="0.25">
      <c r="D1406" s="2"/>
      <c r="F1406" s="3"/>
      <c r="G1406" s="3"/>
      <c r="H1406" s="3"/>
      <c r="I1406" s="3"/>
      <c r="J1406" s="3"/>
      <c r="K1406" s="3"/>
      <c r="M1406" s="10"/>
      <c r="N1406" s="3"/>
      <c r="O1406" s="3"/>
      <c r="P1406" s="3"/>
    </row>
    <row r="1407" spans="4:16" x14ac:dyDescent="0.25">
      <c r="D1407" s="2"/>
      <c r="F1407" s="3"/>
      <c r="G1407" s="3"/>
      <c r="H1407" s="3"/>
      <c r="I1407" s="3"/>
      <c r="J1407" s="3"/>
      <c r="K1407" s="3"/>
      <c r="M1407" s="10"/>
      <c r="N1407" s="3"/>
      <c r="O1407" s="3"/>
      <c r="P1407" s="3"/>
    </row>
    <row r="1408" spans="4:16" x14ac:dyDescent="0.25">
      <c r="D1408" s="2"/>
      <c r="F1408" s="3"/>
      <c r="G1408" s="3"/>
      <c r="H1408" s="3"/>
      <c r="I1408" s="3"/>
      <c r="J1408" s="3"/>
      <c r="K1408" s="3"/>
      <c r="M1408" s="10"/>
      <c r="N1408" s="3"/>
      <c r="O1408" s="3"/>
      <c r="P1408" s="3"/>
    </row>
    <row r="1409" spans="4:16" x14ac:dyDescent="0.25">
      <c r="D1409" s="2"/>
      <c r="F1409" s="3"/>
      <c r="G1409" s="3"/>
      <c r="H1409" s="3"/>
      <c r="I1409" s="3"/>
      <c r="J1409" s="3"/>
      <c r="K1409" s="3"/>
      <c r="M1409" s="10"/>
      <c r="N1409" s="3"/>
      <c r="O1409" s="3"/>
      <c r="P1409" s="3"/>
    </row>
    <row r="1410" spans="4:16" x14ac:dyDescent="0.25">
      <c r="D1410" s="2"/>
      <c r="F1410" s="3"/>
      <c r="G1410" s="3"/>
      <c r="H1410" s="3"/>
      <c r="I1410" s="3"/>
      <c r="J1410" s="3"/>
      <c r="K1410" s="3"/>
      <c r="M1410" s="10"/>
      <c r="N1410" s="3"/>
      <c r="O1410" s="3"/>
      <c r="P1410" s="3"/>
    </row>
    <row r="1411" spans="4:16" x14ac:dyDescent="0.25">
      <c r="D1411" s="2"/>
      <c r="F1411" s="3"/>
      <c r="G1411" s="3"/>
      <c r="H1411" s="3"/>
      <c r="I1411" s="3"/>
      <c r="J1411" s="3"/>
      <c r="K1411" s="3"/>
      <c r="M1411" s="10"/>
      <c r="N1411" s="3"/>
      <c r="O1411" s="3"/>
      <c r="P1411" s="3"/>
    </row>
    <row r="1412" spans="4:16" x14ac:dyDescent="0.25">
      <c r="D1412" s="2"/>
      <c r="F1412" s="3"/>
      <c r="G1412" s="3"/>
      <c r="H1412" s="3"/>
      <c r="I1412" s="3"/>
      <c r="J1412" s="3"/>
      <c r="K1412" s="3"/>
      <c r="M1412" s="10"/>
      <c r="N1412" s="3"/>
      <c r="O1412" s="3"/>
      <c r="P1412" s="3"/>
    </row>
    <row r="1413" spans="4:16" x14ac:dyDescent="0.25">
      <c r="D1413" s="2"/>
      <c r="F1413" s="3"/>
      <c r="G1413" s="3"/>
      <c r="H1413" s="3"/>
      <c r="I1413" s="3"/>
      <c r="J1413" s="3"/>
      <c r="K1413" s="3"/>
      <c r="M1413" s="10"/>
      <c r="N1413" s="3"/>
      <c r="O1413" s="3"/>
      <c r="P1413" s="3"/>
    </row>
    <row r="1414" spans="4:16" x14ac:dyDescent="0.25">
      <c r="D1414" s="2"/>
      <c r="F1414" s="3"/>
      <c r="G1414" s="3"/>
      <c r="H1414" s="3"/>
      <c r="I1414" s="3"/>
      <c r="J1414" s="3"/>
      <c r="K1414" s="3"/>
      <c r="M1414" s="10"/>
      <c r="N1414" s="3"/>
      <c r="O1414" s="3"/>
      <c r="P1414" s="3"/>
    </row>
    <row r="1415" spans="4:16" x14ac:dyDescent="0.25">
      <c r="D1415" s="2"/>
      <c r="F1415" s="3"/>
      <c r="G1415" s="3"/>
      <c r="H1415" s="3"/>
      <c r="I1415" s="3"/>
      <c r="J1415" s="3"/>
      <c r="K1415" s="3"/>
      <c r="M1415" s="10"/>
      <c r="N1415" s="3"/>
      <c r="O1415" s="3"/>
      <c r="P1415" s="3"/>
    </row>
    <row r="1416" spans="4:16" x14ac:dyDescent="0.25">
      <c r="D1416" s="2"/>
      <c r="F1416" s="3"/>
      <c r="G1416" s="3"/>
      <c r="H1416" s="3"/>
      <c r="I1416" s="3"/>
      <c r="J1416" s="3"/>
      <c r="K1416" s="3"/>
      <c r="M1416" s="10"/>
      <c r="N1416" s="3"/>
      <c r="O1416" s="3"/>
      <c r="P1416" s="3"/>
    </row>
    <row r="1417" spans="4:16" x14ac:dyDescent="0.25">
      <c r="D1417" s="2"/>
      <c r="F1417" s="3"/>
      <c r="G1417" s="3"/>
      <c r="H1417" s="3"/>
      <c r="I1417" s="3"/>
      <c r="J1417" s="3"/>
      <c r="K1417" s="3"/>
      <c r="M1417" s="10"/>
      <c r="N1417" s="3"/>
      <c r="O1417" s="3"/>
      <c r="P1417" s="3"/>
    </row>
    <row r="1418" spans="4:16" x14ac:dyDescent="0.25">
      <c r="D1418" s="2"/>
      <c r="F1418" s="3"/>
      <c r="G1418" s="3"/>
      <c r="H1418" s="3"/>
      <c r="I1418" s="3"/>
      <c r="J1418" s="3"/>
      <c r="K1418" s="3"/>
      <c r="M1418" s="10"/>
      <c r="N1418" s="3"/>
      <c r="O1418" s="3"/>
      <c r="P1418" s="3"/>
    </row>
    <row r="1419" spans="4:16" x14ac:dyDescent="0.25">
      <c r="D1419" s="2"/>
      <c r="F1419" s="3"/>
      <c r="G1419" s="3"/>
      <c r="H1419" s="3"/>
      <c r="I1419" s="3"/>
      <c r="J1419" s="3"/>
      <c r="K1419" s="3"/>
      <c r="M1419" s="10"/>
      <c r="N1419" s="3"/>
      <c r="O1419" s="3"/>
      <c r="P1419" s="3"/>
    </row>
    <row r="1420" spans="4:16" x14ac:dyDescent="0.25">
      <c r="D1420" s="2"/>
      <c r="F1420" s="3"/>
      <c r="G1420" s="3"/>
      <c r="H1420" s="3"/>
      <c r="I1420" s="3"/>
      <c r="J1420" s="3"/>
      <c r="K1420" s="3"/>
      <c r="M1420" s="10"/>
      <c r="N1420" s="3"/>
      <c r="O1420" s="3"/>
      <c r="P1420" s="3"/>
    </row>
    <row r="1421" spans="4:16" x14ac:dyDescent="0.25">
      <c r="D1421" s="2"/>
      <c r="F1421" s="3"/>
      <c r="G1421" s="3"/>
      <c r="H1421" s="3"/>
      <c r="I1421" s="3"/>
      <c r="J1421" s="3"/>
      <c r="K1421" s="3"/>
      <c r="M1421" s="10"/>
      <c r="N1421" s="3"/>
      <c r="O1421" s="3"/>
      <c r="P1421" s="3"/>
    </row>
    <row r="1422" spans="4:16" x14ac:dyDescent="0.25">
      <c r="D1422" s="2"/>
      <c r="F1422" s="3"/>
      <c r="G1422" s="3"/>
      <c r="H1422" s="3"/>
      <c r="I1422" s="3"/>
      <c r="J1422" s="3"/>
      <c r="K1422" s="3"/>
      <c r="M1422" s="10"/>
      <c r="N1422" s="3"/>
      <c r="O1422" s="3"/>
      <c r="P1422" s="3"/>
    </row>
    <row r="1423" spans="4:16" x14ac:dyDescent="0.25">
      <c r="D1423" s="2"/>
      <c r="F1423" s="3"/>
      <c r="G1423" s="3"/>
      <c r="H1423" s="3"/>
      <c r="I1423" s="3"/>
      <c r="J1423" s="3"/>
      <c r="K1423" s="3"/>
      <c r="M1423" s="10"/>
      <c r="N1423" s="3"/>
      <c r="O1423" s="3"/>
      <c r="P1423" s="3"/>
    </row>
    <row r="1424" spans="4:16" x14ac:dyDescent="0.25">
      <c r="D1424" s="2"/>
      <c r="F1424" s="3"/>
      <c r="G1424" s="3"/>
      <c r="H1424" s="3"/>
      <c r="I1424" s="3"/>
      <c r="J1424" s="3"/>
      <c r="K1424" s="3"/>
      <c r="M1424" s="10"/>
      <c r="N1424" s="3"/>
      <c r="O1424" s="3"/>
      <c r="P1424" s="3"/>
    </row>
    <row r="1425" spans="4:16" x14ac:dyDescent="0.25">
      <c r="D1425" s="2"/>
      <c r="F1425" s="3"/>
      <c r="G1425" s="3"/>
      <c r="H1425" s="3"/>
      <c r="I1425" s="3"/>
      <c r="J1425" s="3"/>
      <c r="K1425" s="3"/>
      <c r="M1425" s="10"/>
      <c r="N1425" s="3"/>
      <c r="O1425" s="3"/>
      <c r="P1425" s="3"/>
    </row>
    <row r="1426" spans="4:16" x14ac:dyDescent="0.25">
      <c r="D1426" s="2"/>
      <c r="F1426" s="3"/>
      <c r="G1426" s="3"/>
      <c r="H1426" s="3"/>
      <c r="I1426" s="3"/>
      <c r="J1426" s="3"/>
      <c r="K1426" s="3"/>
      <c r="M1426" s="10"/>
      <c r="N1426" s="3"/>
      <c r="O1426" s="3"/>
      <c r="P1426" s="3"/>
    </row>
    <row r="1427" spans="4:16" x14ac:dyDescent="0.25">
      <c r="D1427" s="2"/>
      <c r="F1427" s="3"/>
      <c r="G1427" s="3"/>
      <c r="H1427" s="3"/>
      <c r="I1427" s="3"/>
      <c r="J1427" s="3"/>
      <c r="K1427" s="3"/>
      <c r="M1427" s="10"/>
      <c r="N1427" s="3"/>
      <c r="O1427" s="3"/>
      <c r="P1427" s="3"/>
    </row>
    <row r="1428" spans="4:16" x14ac:dyDescent="0.25">
      <c r="D1428" s="2"/>
      <c r="F1428" s="3"/>
      <c r="G1428" s="3"/>
      <c r="H1428" s="3"/>
      <c r="I1428" s="3"/>
      <c r="J1428" s="3"/>
      <c r="K1428" s="3"/>
      <c r="M1428" s="10"/>
      <c r="N1428" s="3"/>
      <c r="O1428" s="3"/>
      <c r="P1428" s="3"/>
    </row>
    <row r="1429" spans="4:16" x14ac:dyDescent="0.25">
      <c r="D1429" s="2"/>
      <c r="F1429" s="3"/>
      <c r="G1429" s="3"/>
      <c r="H1429" s="3"/>
      <c r="I1429" s="3"/>
      <c r="J1429" s="3"/>
      <c r="K1429" s="3"/>
      <c r="M1429" s="10"/>
      <c r="N1429" s="3"/>
      <c r="O1429" s="3"/>
      <c r="P1429" s="3"/>
    </row>
    <row r="1430" spans="4:16" x14ac:dyDescent="0.25">
      <c r="D1430" s="2"/>
      <c r="F1430" s="3"/>
      <c r="G1430" s="3"/>
      <c r="H1430" s="3"/>
      <c r="I1430" s="3"/>
      <c r="J1430" s="3"/>
      <c r="K1430" s="3"/>
      <c r="M1430" s="10"/>
      <c r="N1430" s="3"/>
      <c r="O1430" s="3"/>
      <c r="P1430" s="3"/>
    </row>
    <row r="1431" spans="4:16" x14ac:dyDescent="0.25">
      <c r="D1431" s="2"/>
      <c r="F1431" s="3"/>
      <c r="G1431" s="3"/>
      <c r="H1431" s="3"/>
      <c r="I1431" s="3"/>
      <c r="J1431" s="3"/>
      <c r="K1431" s="3"/>
      <c r="M1431" s="10"/>
      <c r="N1431" s="3"/>
      <c r="O1431" s="3"/>
      <c r="P1431" s="3"/>
    </row>
    <row r="1432" spans="4:16" x14ac:dyDescent="0.25">
      <c r="D1432" s="2"/>
      <c r="F1432" s="3"/>
      <c r="G1432" s="3"/>
      <c r="H1432" s="3"/>
      <c r="I1432" s="3"/>
      <c r="J1432" s="3"/>
      <c r="K1432" s="3"/>
      <c r="M1432" s="10"/>
      <c r="N1432" s="3"/>
      <c r="O1432" s="3"/>
      <c r="P1432" s="3"/>
    </row>
    <row r="1433" spans="4:16" x14ac:dyDescent="0.25">
      <c r="D1433" s="2"/>
      <c r="F1433" s="3"/>
      <c r="G1433" s="3"/>
      <c r="H1433" s="3"/>
      <c r="I1433" s="3"/>
      <c r="J1433" s="3"/>
      <c r="K1433" s="3"/>
      <c r="M1433" s="10"/>
      <c r="N1433" s="3"/>
      <c r="O1433" s="3"/>
      <c r="P1433" s="3"/>
    </row>
    <row r="1434" spans="4:16" x14ac:dyDescent="0.25">
      <c r="D1434" s="2"/>
      <c r="F1434" s="3"/>
      <c r="G1434" s="3"/>
      <c r="H1434" s="3"/>
      <c r="I1434" s="3"/>
      <c r="J1434" s="3"/>
      <c r="K1434" s="3"/>
      <c r="M1434" s="10"/>
      <c r="N1434" s="3"/>
      <c r="O1434" s="3"/>
      <c r="P1434" s="3"/>
    </row>
    <row r="1435" spans="4:16" x14ac:dyDescent="0.25">
      <c r="D1435" s="2"/>
      <c r="F1435" s="3"/>
      <c r="G1435" s="3"/>
      <c r="H1435" s="3"/>
      <c r="I1435" s="3"/>
      <c r="J1435" s="3"/>
      <c r="K1435" s="3"/>
      <c r="M1435" s="10"/>
      <c r="N1435" s="3"/>
      <c r="O1435" s="3"/>
      <c r="P1435" s="3"/>
    </row>
    <row r="1436" spans="4:16" x14ac:dyDescent="0.25">
      <c r="D1436" s="2"/>
      <c r="F1436" s="3"/>
      <c r="G1436" s="3"/>
      <c r="H1436" s="3"/>
      <c r="I1436" s="3"/>
      <c r="J1436" s="3"/>
      <c r="K1436" s="3"/>
      <c r="M1436" s="10"/>
      <c r="N1436" s="3"/>
      <c r="O1436" s="3"/>
      <c r="P1436" s="3"/>
    </row>
    <row r="1437" spans="4:16" x14ac:dyDescent="0.25">
      <c r="D1437" s="2"/>
      <c r="F1437" s="3"/>
      <c r="G1437" s="3"/>
      <c r="H1437" s="3"/>
      <c r="I1437" s="3"/>
      <c r="J1437" s="3"/>
      <c r="K1437" s="3"/>
      <c r="M1437" s="10"/>
      <c r="N1437" s="3"/>
      <c r="O1437" s="3"/>
      <c r="P1437" s="3"/>
    </row>
    <row r="1438" spans="4:16" x14ac:dyDescent="0.25">
      <c r="D1438" s="2"/>
      <c r="F1438" s="3"/>
      <c r="G1438" s="3"/>
      <c r="H1438" s="3"/>
      <c r="I1438" s="3"/>
      <c r="J1438" s="3"/>
      <c r="K1438" s="3"/>
      <c r="M1438" s="10"/>
      <c r="N1438" s="3"/>
      <c r="O1438" s="3"/>
      <c r="P1438" s="3"/>
    </row>
    <row r="1439" spans="4:16" x14ac:dyDescent="0.25">
      <c r="D1439" s="2"/>
      <c r="F1439" s="3"/>
      <c r="G1439" s="3"/>
      <c r="H1439" s="3"/>
      <c r="I1439" s="3"/>
      <c r="J1439" s="3"/>
      <c r="K1439" s="3"/>
      <c r="M1439" s="10"/>
      <c r="N1439" s="3"/>
      <c r="O1439" s="3"/>
      <c r="P1439" s="3"/>
    </row>
    <row r="1440" spans="4:16" x14ac:dyDescent="0.25">
      <c r="D1440" s="2"/>
      <c r="F1440" s="3"/>
      <c r="G1440" s="3"/>
      <c r="H1440" s="3"/>
      <c r="I1440" s="3"/>
      <c r="J1440" s="3"/>
      <c r="K1440" s="3"/>
      <c r="M1440" s="10"/>
      <c r="N1440" s="3"/>
      <c r="O1440" s="3"/>
      <c r="P1440" s="3"/>
    </row>
    <row r="1441" spans="4:16" x14ac:dyDescent="0.25">
      <c r="D1441" s="2"/>
      <c r="F1441" s="3"/>
      <c r="G1441" s="3"/>
      <c r="H1441" s="3"/>
      <c r="I1441" s="3"/>
      <c r="J1441" s="3"/>
      <c r="K1441" s="3"/>
      <c r="M1441" s="10"/>
      <c r="N1441" s="3"/>
      <c r="O1441" s="3"/>
      <c r="P1441" s="3"/>
    </row>
    <row r="1442" spans="4:16" x14ac:dyDescent="0.25">
      <c r="D1442" s="2"/>
      <c r="F1442" s="3"/>
      <c r="G1442" s="3"/>
      <c r="H1442" s="3"/>
      <c r="I1442" s="3"/>
      <c r="J1442" s="3"/>
      <c r="K1442" s="3"/>
      <c r="M1442" s="10"/>
      <c r="N1442" s="3"/>
      <c r="O1442" s="3"/>
      <c r="P1442" s="3"/>
    </row>
    <row r="1443" spans="4:16" x14ac:dyDescent="0.25">
      <c r="D1443" s="2"/>
      <c r="F1443" s="3"/>
      <c r="G1443" s="3"/>
      <c r="H1443" s="3"/>
      <c r="I1443" s="3"/>
      <c r="J1443" s="3"/>
      <c r="K1443" s="3"/>
      <c r="M1443" s="10"/>
      <c r="N1443" s="3"/>
      <c r="O1443" s="3"/>
      <c r="P1443" s="3"/>
    </row>
    <row r="1444" spans="4:16" x14ac:dyDescent="0.25">
      <c r="D1444" s="2"/>
      <c r="F1444" s="3"/>
      <c r="G1444" s="3"/>
      <c r="H1444" s="3"/>
      <c r="I1444" s="3"/>
      <c r="J1444" s="3"/>
      <c r="K1444" s="3"/>
      <c r="M1444" s="10"/>
      <c r="N1444" s="3"/>
      <c r="O1444" s="3"/>
      <c r="P1444" s="3"/>
    </row>
    <row r="1445" spans="4:16" x14ac:dyDescent="0.25">
      <c r="D1445" s="2"/>
      <c r="F1445" s="3"/>
      <c r="G1445" s="3"/>
      <c r="H1445" s="3"/>
      <c r="I1445" s="3"/>
      <c r="J1445" s="3"/>
      <c r="K1445" s="3"/>
      <c r="M1445" s="10"/>
      <c r="N1445" s="3"/>
      <c r="O1445" s="3"/>
      <c r="P1445" s="3"/>
    </row>
    <row r="1446" spans="4:16" x14ac:dyDescent="0.25">
      <c r="D1446" s="2"/>
      <c r="F1446" s="3"/>
      <c r="G1446" s="3"/>
      <c r="H1446" s="3"/>
      <c r="I1446" s="3"/>
      <c r="J1446" s="3"/>
      <c r="K1446" s="3"/>
      <c r="M1446" s="10"/>
      <c r="N1446" s="3"/>
      <c r="O1446" s="3"/>
      <c r="P1446" s="3"/>
    </row>
    <row r="1447" spans="4:16" x14ac:dyDescent="0.25">
      <c r="D1447" s="2"/>
      <c r="F1447" s="3"/>
      <c r="G1447" s="3"/>
      <c r="H1447" s="3"/>
      <c r="I1447" s="3"/>
      <c r="J1447" s="3"/>
      <c r="K1447" s="3"/>
      <c r="M1447" s="10"/>
      <c r="N1447" s="3"/>
      <c r="O1447" s="3"/>
      <c r="P1447" s="3"/>
    </row>
    <row r="1448" spans="4:16" x14ac:dyDescent="0.25">
      <c r="D1448" s="2"/>
      <c r="F1448" s="3"/>
      <c r="G1448" s="3"/>
      <c r="H1448" s="3"/>
      <c r="I1448" s="3"/>
      <c r="J1448" s="3"/>
      <c r="K1448" s="3"/>
      <c r="M1448" s="10"/>
      <c r="N1448" s="3"/>
      <c r="O1448" s="3"/>
      <c r="P1448" s="3"/>
    </row>
    <row r="1449" spans="4:16" x14ac:dyDescent="0.25">
      <c r="D1449" s="2"/>
      <c r="F1449" s="3"/>
      <c r="G1449" s="3"/>
      <c r="H1449" s="3"/>
      <c r="I1449" s="3"/>
      <c r="J1449" s="3"/>
      <c r="K1449" s="3"/>
      <c r="M1449" s="10"/>
      <c r="N1449" s="3"/>
      <c r="O1449" s="3"/>
      <c r="P1449" s="3"/>
    </row>
    <row r="1450" spans="4:16" x14ac:dyDescent="0.25">
      <c r="D1450" s="2"/>
      <c r="F1450" s="3"/>
      <c r="G1450" s="3"/>
      <c r="H1450" s="3"/>
      <c r="I1450" s="3"/>
      <c r="J1450" s="3"/>
      <c r="K1450" s="3"/>
      <c r="M1450" s="10"/>
      <c r="N1450" s="3"/>
      <c r="O1450" s="3"/>
      <c r="P1450" s="3"/>
    </row>
    <row r="1451" spans="4:16" x14ac:dyDescent="0.25">
      <c r="D1451" s="2"/>
      <c r="F1451" s="3"/>
      <c r="G1451" s="3"/>
      <c r="H1451" s="3"/>
      <c r="I1451" s="3"/>
      <c r="J1451" s="3"/>
      <c r="K1451" s="3"/>
      <c r="M1451" s="10"/>
      <c r="N1451" s="3"/>
      <c r="O1451" s="3"/>
      <c r="P1451" s="3"/>
    </row>
    <row r="1452" spans="4:16" x14ac:dyDescent="0.25">
      <c r="D1452" s="2"/>
      <c r="F1452" s="3"/>
      <c r="G1452" s="3"/>
      <c r="H1452" s="3"/>
      <c r="I1452" s="3"/>
      <c r="J1452" s="3"/>
      <c r="K1452" s="3"/>
      <c r="M1452" s="10"/>
      <c r="N1452" s="3"/>
      <c r="O1452" s="3"/>
      <c r="P1452" s="3"/>
    </row>
    <row r="1453" spans="4:16" x14ac:dyDescent="0.25">
      <c r="D1453" s="2"/>
      <c r="F1453" s="3"/>
      <c r="G1453" s="3"/>
      <c r="H1453" s="3"/>
      <c r="I1453" s="3"/>
      <c r="J1453" s="3"/>
      <c r="K1453" s="3"/>
      <c r="M1453" s="10"/>
      <c r="N1453" s="3"/>
      <c r="O1453" s="3"/>
      <c r="P1453" s="3"/>
    </row>
    <row r="1454" spans="4:16" x14ac:dyDescent="0.25">
      <c r="D1454" s="2"/>
      <c r="F1454" s="3"/>
      <c r="G1454" s="3"/>
      <c r="H1454" s="3"/>
      <c r="I1454" s="3"/>
      <c r="J1454" s="3"/>
      <c r="K1454" s="3"/>
      <c r="M1454" s="10"/>
      <c r="N1454" s="3"/>
      <c r="O1454" s="3"/>
      <c r="P1454" s="3"/>
    </row>
    <row r="1455" spans="4:16" x14ac:dyDescent="0.25">
      <c r="D1455" s="2"/>
      <c r="F1455" s="3"/>
      <c r="G1455" s="3"/>
      <c r="H1455" s="3"/>
      <c r="I1455" s="3"/>
      <c r="J1455" s="3"/>
      <c r="K1455" s="3"/>
      <c r="M1455" s="10"/>
      <c r="N1455" s="3"/>
      <c r="O1455" s="3"/>
      <c r="P1455" s="3"/>
    </row>
    <row r="1456" spans="4:16" x14ac:dyDescent="0.25">
      <c r="D1456" s="2"/>
      <c r="F1456" s="3"/>
      <c r="G1456" s="3"/>
      <c r="H1456" s="3"/>
      <c r="I1456" s="3"/>
      <c r="J1456" s="3"/>
      <c r="K1456" s="3"/>
      <c r="M1456" s="10"/>
      <c r="N1456" s="3"/>
      <c r="O1456" s="3"/>
      <c r="P1456" s="3"/>
    </row>
    <row r="1457" spans="4:16" x14ac:dyDescent="0.25">
      <c r="D1457" s="2"/>
      <c r="F1457" s="3"/>
      <c r="G1457" s="3"/>
      <c r="H1457" s="3"/>
      <c r="I1457" s="3"/>
      <c r="J1457" s="3"/>
      <c r="K1457" s="3"/>
      <c r="M1457" s="10"/>
      <c r="N1457" s="3"/>
      <c r="O1457" s="3"/>
      <c r="P1457" s="3"/>
    </row>
    <row r="1458" spans="4:16" x14ac:dyDescent="0.25">
      <c r="D1458" s="2"/>
      <c r="F1458" s="3"/>
      <c r="G1458" s="3"/>
      <c r="H1458" s="3"/>
      <c r="I1458" s="3"/>
      <c r="J1458" s="3"/>
      <c r="K1458" s="3"/>
      <c r="M1458" s="10"/>
      <c r="N1458" s="3"/>
      <c r="O1458" s="3"/>
      <c r="P1458" s="3"/>
    </row>
    <row r="1459" spans="4:16" x14ac:dyDescent="0.25">
      <c r="D1459" s="2"/>
      <c r="F1459" s="3"/>
      <c r="G1459" s="3"/>
      <c r="H1459" s="3"/>
      <c r="I1459" s="3"/>
      <c r="J1459" s="3"/>
      <c r="K1459" s="3"/>
      <c r="M1459" s="10"/>
      <c r="N1459" s="3"/>
      <c r="O1459" s="3"/>
      <c r="P1459" s="3"/>
    </row>
    <row r="1460" spans="4:16" x14ac:dyDescent="0.25">
      <c r="D1460" s="2"/>
      <c r="F1460" s="3"/>
      <c r="G1460" s="3"/>
      <c r="H1460" s="3"/>
      <c r="I1460" s="3"/>
      <c r="J1460" s="3"/>
      <c r="K1460" s="3"/>
      <c r="M1460" s="10"/>
      <c r="N1460" s="3"/>
      <c r="O1460" s="3"/>
      <c r="P1460" s="3"/>
    </row>
    <row r="1461" spans="4:16" x14ac:dyDescent="0.25">
      <c r="D1461" s="2"/>
      <c r="F1461" s="3"/>
      <c r="G1461" s="3"/>
      <c r="H1461" s="3"/>
      <c r="I1461" s="3"/>
      <c r="J1461" s="3"/>
      <c r="K1461" s="3"/>
      <c r="M1461" s="10"/>
      <c r="N1461" s="3"/>
      <c r="O1461" s="3"/>
      <c r="P1461" s="3"/>
    </row>
    <row r="1462" spans="4:16" x14ac:dyDescent="0.25">
      <c r="D1462" s="2"/>
      <c r="F1462" s="3"/>
      <c r="G1462" s="3"/>
      <c r="H1462" s="3"/>
      <c r="I1462" s="3"/>
      <c r="J1462" s="3"/>
      <c r="K1462" s="3"/>
      <c r="M1462" s="10"/>
      <c r="N1462" s="3"/>
      <c r="O1462" s="3"/>
      <c r="P1462" s="3"/>
    </row>
    <row r="1463" spans="4:16" x14ac:dyDescent="0.25">
      <c r="D1463" s="2"/>
      <c r="F1463" s="3"/>
      <c r="G1463" s="3"/>
      <c r="H1463" s="3"/>
      <c r="I1463" s="3"/>
      <c r="J1463" s="3"/>
      <c r="K1463" s="3"/>
      <c r="M1463" s="10"/>
      <c r="N1463" s="3"/>
      <c r="O1463" s="3"/>
      <c r="P1463" s="3"/>
    </row>
    <row r="1464" spans="4:16" x14ac:dyDescent="0.25">
      <c r="D1464" s="2"/>
      <c r="F1464" s="3"/>
      <c r="G1464" s="3"/>
      <c r="H1464" s="3"/>
      <c r="I1464" s="3"/>
      <c r="J1464" s="3"/>
      <c r="K1464" s="3"/>
      <c r="M1464" s="10"/>
      <c r="N1464" s="3"/>
      <c r="O1464" s="3"/>
      <c r="P1464" s="3"/>
    </row>
    <row r="1465" spans="4:16" x14ac:dyDescent="0.25">
      <c r="D1465" s="2"/>
      <c r="F1465" s="3"/>
      <c r="G1465" s="3"/>
      <c r="H1465" s="3"/>
      <c r="I1465" s="3"/>
      <c r="J1465" s="3"/>
      <c r="K1465" s="3"/>
      <c r="M1465" s="10"/>
      <c r="N1465" s="3"/>
      <c r="O1465" s="3"/>
      <c r="P1465" s="3"/>
    </row>
    <row r="1466" spans="4:16" x14ac:dyDescent="0.25">
      <c r="D1466" s="2"/>
      <c r="F1466" s="3"/>
      <c r="G1466" s="3"/>
      <c r="H1466" s="3"/>
      <c r="I1466" s="3"/>
      <c r="J1466" s="3"/>
      <c r="K1466" s="3"/>
      <c r="M1466" s="10"/>
      <c r="N1466" s="3"/>
      <c r="O1466" s="3"/>
      <c r="P1466" s="3"/>
    </row>
    <row r="1467" spans="4:16" x14ac:dyDescent="0.25">
      <c r="D1467" s="2"/>
      <c r="F1467" s="3"/>
      <c r="G1467" s="3"/>
      <c r="H1467" s="3"/>
      <c r="I1467" s="3"/>
      <c r="J1467" s="3"/>
      <c r="K1467" s="3"/>
      <c r="M1467" s="10"/>
      <c r="N1467" s="3"/>
      <c r="O1467" s="3"/>
      <c r="P1467" s="3"/>
    </row>
    <row r="1468" spans="4:16" x14ac:dyDescent="0.25">
      <c r="D1468" s="2"/>
      <c r="F1468" s="3"/>
      <c r="G1468" s="3"/>
      <c r="H1468" s="3"/>
      <c r="I1468" s="3"/>
      <c r="J1468" s="3"/>
      <c r="K1468" s="3"/>
      <c r="M1468" s="10"/>
      <c r="N1468" s="3"/>
      <c r="O1468" s="3"/>
      <c r="P1468" s="3"/>
    </row>
    <row r="1469" spans="4:16" x14ac:dyDescent="0.25">
      <c r="D1469" s="2"/>
      <c r="F1469" s="3"/>
      <c r="G1469" s="3"/>
      <c r="H1469" s="3"/>
      <c r="I1469" s="3"/>
      <c r="J1469" s="3"/>
      <c r="K1469" s="3"/>
      <c r="M1469" s="10"/>
      <c r="N1469" s="3"/>
      <c r="O1469" s="3"/>
      <c r="P1469" s="3"/>
    </row>
    <row r="1470" spans="4:16" x14ac:dyDescent="0.25">
      <c r="D1470" s="2"/>
      <c r="F1470" s="3"/>
      <c r="G1470" s="3"/>
      <c r="H1470" s="3"/>
      <c r="I1470" s="3"/>
      <c r="J1470" s="3"/>
      <c r="K1470" s="3"/>
      <c r="M1470" s="10"/>
      <c r="N1470" s="3"/>
      <c r="O1470" s="3"/>
      <c r="P1470" s="3"/>
    </row>
    <row r="1471" spans="4:16" x14ac:dyDescent="0.25">
      <c r="D1471" s="2"/>
      <c r="F1471" s="3"/>
      <c r="G1471" s="3"/>
      <c r="H1471" s="3"/>
      <c r="I1471" s="3"/>
      <c r="J1471" s="3"/>
      <c r="K1471" s="3"/>
      <c r="M1471" s="10"/>
      <c r="N1471" s="3"/>
      <c r="O1471" s="3"/>
      <c r="P1471" s="3"/>
    </row>
    <row r="1472" spans="4:16" x14ac:dyDescent="0.25">
      <c r="D1472" s="2"/>
      <c r="F1472" s="3"/>
      <c r="G1472" s="3"/>
      <c r="H1472" s="3"/>
      <c r="I1472" s="3"/>
      <c r="J1472" s="3"/>
      <c r="K1472" s="3"/>
      <c r="M1472" s="10"/>
      <c r="N1472" s="3"/>
      <c r="O1472" s="3"/>
      <c r="P1472" s="3"/>
    </row>
    <row r="1473" spans="4:16" x14ac:dyDescent="0.25">
      <c r="D1473" s="2"/>
      <c r="F1473" s="3"/>
      <c r="G1473" s="3"/>
      <c r="H1473" s="3"/>
      <c r="I1473" s="3"/>
      <c r="J1473" s="3"/>
      <c r="K1473" s="3"/>
      <c r="M1473" s="10"/>
      <c r="N1473" s="3"/>
      <c r="O1473" s="3"/>
      <c r="P1473" s="3"/>
    </row>
    <row r="1474" spans="4:16" x14ac:dyDescent="0.25">
      <c r="D1474" s="2"/>
      <c r="F1474" s="3"/>
      <c r="G1474" s="3"/>
      <c r="H1474" s="3"/>
      <c r="I1474" s="3"/>
      <c r="J1474" s="3"/>
      <c r="K1474" s="3"/>
      <c r="M1474" s="10"/>
      <c r="N1474" s="3"/>
      <c r="O1474" s="3"/>
      <c r="P1474" s="3"/>
    </row>
    <row r="1475" spans="4:16" x14ac:dyDescent="0.25">
      <c r="D1475" s="2"/>
      <c r="F1475" s="3"/>
      <c r="G1475" s="3"/>
      <c r="H1475" s="3"/>
      <c r="I1475" s="3"/>
      <c r="J1475" s="3"/>
      <c r="K1475" s="3"/>
      <c r="M1475" s="10"/>
      <c r="N1475" s="3"/>
      <c r="O1475" s="3"/>
      <c r="P1475" s="3"/>
    </row>
    <row r="1476" spans="4:16" x14ac:dyDescent="0.25">
      <c r="D1476" s="2"/>
      <c r="F1476" s="3"/>
      <c r="G1476" s="3"/>
      <c r="H1476" s="3"/>
      <c r="I1476" s="3"/>
      <c r="J1476" s="3"/>
      <c r="K1476" s="3"/>
      <c r="M1476" s="10"/>
      <c r="N1476" s="3"/>
      <c r="O1476" s="3"/>
      <c r="P1476" s="3"/>
    </row>
    <row r="1477" spans="4:16" x14ac:dyDescent="0.25">
      <c r="D1477" s="2"/>
      <c r="F1477" s="3"/>
      <c r="G1477" s="3"/>
      <c r="H1477" s="3"/>
      <c r="I1477" s="3"/>
      <c r="J1477" s="3"/>
      <c r="K1477" s="3"/>
      <c r="M1477" s="10"/>
      <c r="N1477" s="3"/>
      <c r="O1477" s="3"/>
      <c r="P1477" s="3"/>
    </row>
    <row r="1478" spans="4:16" x14ac:dyDescent="0.25">
      <c r="D1478" s="2"/>
      <c r="F1478" s="3"/>
      <c r="G1478" s="3"/>
      <c r="H1478" s="3"/>
      <c r="I1478" s="3"/>
      <c r="J1478" s="3"/>
      <c r="K1478" s="3"/>
      <c r="M1478" s="10"/>
      <c r="N1478" s="3"/>
      <c r="O1478" s="3"/>
      <c r="P1478" s="3"/>
    </row>
    <row r="1479" spans="4:16" x14ac:dyDescent="0.25">
      <c r="D1479" s="2"/>
      <c r="F1479" s="3"/>
      <c r="G1479" s="3"/>
      <c r="H1479" s="3"/>
      <c r="I1479" s="3"/>
      <c r="J1479" s="3"/>
      <c r="K1479" s="3"/>
      <c r="M1479" s="10"/>
      <c r="N1479" s="3"/>
      <c r="O1479" s="3"/>
      <c r="P1479" s="3"/>
    </row>
    <row r="1480" spans="4:16" x14ac:dyDescent="0.25">
      <c r="D1480" s="2"/>
      <c r="F1480" s="3"/>
      <c r="G1480" s="3"/>
      <c r="H1480" s="3"/>
      <c r="I1480" s="3"/>
      <c r="J1480" s="3"/>
      <c r="K1480" s="3"/>
      <c r="M1480" s="10"/>
      <c r="N1480" s="3"/>
      <c r="O1480" s="3"/>
      <c r="P1480" s="3"/>
    </row>
    <row r="1481" spans="4:16" x14ac:dyDescent="0.25">
      <c r="D1481" s="2"/>
      <c r="F1481" s="3"/>
      <c r="G1481" s="3"/>
      <c r="H1481" s="3"/>
      <c r="I1481" s="3"/>
      <c r="J1481" s="3"/>
      <c r="K1481" s="3"/>
      <c r="M1481" s="10"/>
      <c r="N1481" s="3"/>
      <c r="O1481" s="3"/>
      <c r="P1481" s="3"/>
    </row>
    <row r="1482" spans="4:16" x14ac:dyDescent="0.25">
      <c r="D1482" s="2"/>
      <c r="F1482" s="3"/>
      <c r="G1482" s="3"/>
      <c r="H1482" s="3"/>
      <c r="I1482" s="3"/>
      <c r="J1482" s="3"/>
      <c r="K1482" s="3"/>
      <c r="M1482" s="10"/>
      <c r="N1482" s="3"/>
      <c r="O1482" s="3"/>
      <c r="P1482" s="3"/>
    </row>
    <row r="1483" spans="4:16" x14ac:dyDescent="0.25">
      <c r="D1483" s="2"/>
      <c r="F1483" s="3"/>
      <c r="G1483" s="3"/>
      <c r="H1483" s="3"/>
      <c r="I1483" s="3"/>
      <c r="J1483" s="3"/>
      <c r="K1483" s="3"/>
      <c r="M1483" s="10"/>
      <c r="N1483" s="3"/>
      <c r="O1483" s="3"/>
      <c r="P1483" s="3"/>
    </row>
    <row r="1484" spans="4:16" x14ac:dyDescent="0.25">
      <c r="D1484" s="2"/>
      <c r="F1484" s="3"/>
      <c r="G1484" s="3"/>
      <c r="H1484" s="3"/>
      <c r="I1484" s="3"/>
      <c r="J1484" s="3"/>
      <c r="K1484" s="3"/>
      <c r="M1484" s="10"/>
      <c r="N1484" s="3"/>
      <c r="O1484" s="3"/>
      <c r="P1484" s="3"/>
    </row>
    <row r="1485" spans="4:16" x14ac:dyDescent="0.25">
      <c r="D1485" s="2"/>
      <c r="F1485" s="3"/>
      <c r="G1485" s="3"/>
      <c r="H1485" s="3"/>
      <c r="I1485" s="3"/>
      <c r="J1485" s="3"/>
      <c r="K1485" s="3"/>
      <c r="M1485" s="10"/>
      <c r="N1485" s="3"/>
      <c r="O1485" s="3"/>
      <c r="P1485" s="3"/>
    </row>
    <row r="1486" spans="4:16" x14ac:dyDescent="0.25">
      <c r="D1486" s="2"/>
      <c r="F1486" s="3"/>
      <c r="G1486" s="3"/>
      <c r="H1486" s="3"/>
      <c r="I1486" s="3"/>
      <c r="J1486" s="3"/>
      <c r="K1486" s="3"/>
      <c r="M1486" s="10"/>
      <c r="N1486" s="3"/>
      <c r="O1486" s="3"/>
      <c r="P1486" s="3"/>
    </row>
    <row r="1487" spans="4:16" x14ac:dyDescent="0.25">
      <c r="D1487" s="2"/>
      <c r="F1487" s="3"/>
      <c r="G1487" s="3"/>
      <c r="H1487" s="3"/>
      <c r="I1487" s="3"/>
      <c r="J1487" s="3"/>
      <c r="K1487" s="3"/>
      <c r="M1487" s="10"/>
      <c r="N1487" s="3"/>
      <c r="O1487" s="3"/>
      <c r="P1487" s="3"/>
    </row>
    <row r="1488" spans="4:16" x14ac:dyDescent="0.25">
      <c r="D1488" s="2"/>
      <c r="F1488" s="3"/>
      <c r="G1488" s="3"/>
      <c r="H1488" s="3"/>
      <c r="I1488" s="3"/>
      <c r="J1488" s="3"/>
      <c r="K1488" s="3"/>
      <c r="M1488" s="10"/>
      <c r="N1488" s="3"/>
      <c r="O1488" s="3"/>
      <c r="P1488" s="3"/>
    </row>
    <row r="1489" spans="4:16" x14ac:dyDescent="0.25">
      <c r="D1489" s="2"/>
      <c r="F1489" s="3"/>
      <c r="G1489" s="3"/>
      <c r="H1489" s="3"/>
      <c r="I1489" s="3"/>
      <c r="J1489" s="3"/>
      <c r="K1489" s="3"/>
      <c r="M1489" s="10"/>
      <c r="N1489" s="3"/>
      <c r="O1489" s="3"/>
      <c r="P1489" s="3"/>
    </row>
    <row r="1490" spans="4:16" x14ac:dyDescent="0.25">
      <c r="D1490" s="2"/>
      <c r="F1490" s="3"/>
      <c r="G1490" s="3"/>
      <c r="H1490" s="3"/>
      <c r="I1490" s="3"/>
      <c r="J1490" s="3"/>
      <c r="K1490" s="3"/>
      <c r="M1490" s="10"/>
      <c r="N1490" s="3"/>
      <c r="O1490" s="3"/>
      <c r="P1490" s="3"/>
    </row>
    <row r="1491" spans="4:16" x14ac:dyDescent="0.25">
      <c r="D1491" s="2"/>
      <c r="F1491" s="3"/>
      <c r="G1491" s="3"/>
      <c r="H1491" s="3"/>
      <c r="I1491" s="3"/>
      <c r="J1491" s="3"/>
      <c r="K1491" s="3"/>
      <c r="M1491" s="10"/>
      <c r="N1491" s="3"/>
      <c r="O1491" s="3"/>
      <c r="P1491" s="3"/>
    </row>
    <row r="1492" spans="4:16" x14ac:dyDescent="0.25">
      <c r="D1492" s="2"/>
      <c r="F1492" s="3"/>
      <c r="G1492" s="3"/>
      <c r="H1492" s="3"/>
      <c r="I1492" s="3"/>
      <c r="J1492" s="3"/>
      <c r="K1492" s="3"/>
      <c r="M1492" s="10"/>
      <c r="N1492" s="3"/>
      <c r="O1492" s="3"/>
      <c r="P1492" s="3"/>
    </row>
    <row r="1493" spans="4:16" x14ac:dyDescent="0.25">
      <c r="D1493" s="2"/>
      <c r="F1493" s="3"/>
      <c r="G1493" s="3"/>
      <c r="H1493" s="3"/>
      <c r="I1493" s="3"/>
      <c r="J1493" s="3"/>
      <c r="K1493" s="3"/>
      <c r="M1493" s="10"/>
      <c r="N1493" s="3"/>
      <c r="O1493" s="3"/>
      <c r="P1493" s="3"/>
    </row>
    <row r="1494" spans="4:16" x14ac:dyDescent="0.25">
      <c r="D1494" s="2"/>
      <c r="F1494" s="3"/>
      <c r="G1494" s="3"/>
      <c r="H1494" s="3"/>
      <c r="I1494" s="3"/>
      <c r="J1494" s="3"/>
      <c r="K1494" s="3"/>
      <c r="M1494" s="10"/>
      <c r="N1494" s="3"/>
      <c r="O1494" s="3"/>
      <c r="P1494" s="3"/>
    </row>
    <row r="1495" spans="4:16" x14ac:dyDescent="0.25">
      <c r="D1495" s="2"/>
      <c r="F1495" s="3"/>
      <c r="G1495" s="3"/>
      <c r="H1495" s="3"/>
      <c r="I1495" s="3"/>
      <c r="J1495" s="3"/>
      <c r="K1495" s="3"/>
      <c r="M1495" s="10"/>
      <c r="N1495" s="3"/>
      <c r="O1495" s="3"/>
      <c r="P1495" s="3"/>
    </row>
    <row r="1496" spans="4:16" x14ac:dyDescent="0.25">
      <c r="D1496" s="2"/>
      <c r="F1496" s="3"/>
      <c r="G1496" s="3"/>
      <c r="H1496" s="3"/>
      <c r="I1496" s="3"/>
      <c r="J1496" s="3"/>
      <c r="K1496" s="3"/>
      <c r="M1496" s="10"/>
      <c r="N1496" s="3"/>
      <c r="O1496" s="3"/>
      <c r="P1496" s="3"/>
    </row>
    <row r="1497" spans="4:16" x14ac:dyDescent="0.25">
      <c r="D1497" s="2"/>
      <c r="F1497" s="3"/>
      <c r="G1497" s="3"/>
      <c r="H1497" s="3"/>
      <c r="I1497" s="3"/>
      <c r="J1497" s="3"/>
      <c r="K1497" s="3"/>
      <c r="M1497" s="10"/>
      <c r="N1497" s="3"/>
      <c r="O1497" s="3"/>
      <c r="P1497" s="3"/>
    </row>
    <row r="1498" spans="4:16" x14ac:dyDescent="0.25">
      <c r="D1498" s="2"/>
      <c r="F1498" s="3"/>
      <c r="G1498" s="3"/>
      <c r="H1498" s="3"/>
      <c r="I1498" s="3"/>
      <c r="J1498" s="3"/>
      <c r="K1498" s="3"/>
      <c r="M1498" s="10"/>
      <c r="N1498" s="3"/>
      <c r="O1498" s="3"/>
      <c r="P1498" s="3"/>
    </row>
    <row r="1499" spans="4:16" x14ac:dyDescent="0.25">
      <c r="D1499" s="2"/>
      <c r="F1499" s="3"/>
      <c r="G1499" s="3"/>
      <c r="H1499" s="3"/>
      <c r="I1499" s="3"/>
      <c r="J1499" s="3"/>
      <c r="K1499" s="3"/>
      <c r="M1499" s="10"/>
      <c r="N1499" s="3"/>
      <c r="O1499" s="3"/>
      <c r="P1499" s="3"/>
    </row>
    <row r="1500" spans="4:16" x14ac:dyDescent="0.25">
      <c r="D1500" s="2"/>
      <c r="F1500" s="3"/>
      <c r="G1500" s="3"/>
      <c r="H1500" s="3"/>
      <c r="I1500" s="3"/>
      <c r="J1500" s="3"/>
      <c r="K1500" s="3"/>
      <c r="M1500" s="10"/>
      <c r="N1500" s="3"/>
      <c r="O1500" s="3"/>
      <c r="P1500" s="3"/>
    </row>
    <row r="1501" spans="4:16" x14ac:dyDescent="0.25">
      <c r="D1501" s="2"/>
      <c r="F1501" s="3"/>
      <c r="G1501" s="3"/>
      <c r="H1501" s="3"/>
      <c r="I1501" s="3"/>
      <c r="J1501" s="3"/>
      <c r="K1501" s="3"/>
      <c r="M1501" s="10"/>
      <c r="N1501" s="3"/>
      <c r="O1501" s="3"/>
      <c r="P1501" s="3"/>
    </row>
    <row r="1502" spans="4:16" x14ac:dyDescent="0.25">
      <c r="D1502" s="2"/>
      <c r="F1502" s="3"/>
      <c r="G1502" s="3"/>
      <c r="H1502" s="3"/>
      <c r="I1502" s="3"/>
      <c r="J1502" s="3"/>
      <c r="K1502" s="3"/>
      <c r="M1502" s="10"/>
      <c r="N1502" s="3"/>
      <c r="O1502" s="3"/>
      <c r="P1502" s="3"/>
    </row>
    <row r="1503" spans="4:16" x14ac:dyDescent="0.25">
      <c r="D1503" s="2"/>
      <c r="F1503" s="3"/>
      <c r="G1503" s="3"/>
      <c r="H1503" s="3"/>
      <c r="I1503" s="3"/>
      <c r="J1503" s="3"/>
      <c r="K1503" s="3"/>
      <c r="M1503" s="10"/>
      <c r="N1503" s="3"/>
      <c r="O1503" s="3"/>
      <c r="P1503" s="3"/>
    </row>
    <row r="1504" spans="4:16" x14ac:dyDescent="0.25">
      <c r="D1504" s="2"/>
      <c r="F1504" s="3"/>
      <c r="G1504" s="3"/>
      <c r="H1504" s="3"/>
      <c r="I1504" s="3"/>
      <c r="J1504" s="3"/>
      <c r="K1504" s="3"/>
      <c r="M1504" s="10"/>
      <c r="N1504" s="3"/>
      <c r="O1504" s="3"/>
      <c r="P1504" s="3"/>
    </row>
    <row r="1505" spans="4:16" x14ac:dyDescent="0.25">
      <c r="D1505" s="2"/>
      <c r="F1505" s="3"/>
      <c r="G1505" s="3"/>
      <c r="H1505" s="3"/>
      <c r="I1505" s="3"/>
      <c r="J1505" s="3"/>
      <c r="K1505" s="3"/>
      <c r="M1505" s="10"/>
      <c r="N1505" s="3"/>
      <c r="O1505" s="3"/>
      <c r="P1505" s="3"/>
    </row>
    <row r="1506" spans="4:16" x14ac:dyDescent="0.25">
      <c r="D1506" s="2"/>
      <c r="F1506" s="3"/>
      <c r="G1506" s="3"/>
      <c r="H1506" s="3"/>
      <c r="I1506" s="3"/>
      <c r="J1506" s="3"/>
      <c r="K1506" s="3"/>
      <c r="M1506" s="10"/>
      <c r="N1506" s="3"/>
      <c r="O1506" s="3"/>
      <c r="P1506" s="3"/>
    </row>
    <row r="1507" spans="4:16" x14ac:dyDescent="0.25">
      <c r="D1507" s="2"/>
      <c r="F1507" s="3"/>
      <c r="G1507" s="3"/>
      <c r="H1507" s="3"/>
      <c r="I1507" s="3"/>
      <c r="J1507" s="3"/>
      <c r="K1507" s="3"/>
      <c r="M1507" s="10"/>
      <c r="N1507" s="3"/>
      <c r="O1507" s="3"/>
      <c r="P1507" s="3"/>
    </row>
    <row r="1508" spans="4:16" x14ac:dyDescent="0.25">
      <c r="D1508" s="2"/>
      <c r="F1508" s="3"/>
      <c r="G1508" s="3"/>
      <c r="H1508" s="3"/>
      <c r="I1508" s="3"/>
      <c r="J1508" s="3"/>
      <c r="K1508" s="3"/>
      <c r="M1508" s="10"/>
      <c r="N1508" s="3"/>
      <c r="O1508" s="3"/>
      <c r="P1508" s="3"/>
    </row>
    <row r="1509" spans="4:16" x14ac:dyDescent="0.25">
      <c r="D1509" s="2"/>
      <c r="F1509" s="3"/>
      <c r="G1509" s="3"/>
      <c r="H1509" s="3"/>
      <c r="I1509" s="3"/>
      <c r="J1509" s="3"/>
      <c r="K1509" s="3"/>
      <c r="M1509" s="10"/>
      <c r="N1509" s="3"/>
      <c r="O1509" s="3"/>
      <c r="P1509" s="3"/>
    </row>
    <row r="1510" spans="4:16" x14ac:dyDescent="0.25">
      <c r="D1510" s="2"/>
      <c r="F1510" s="3"/>
      <c r="G1510" s="3"/>
      <c r="H1510" s="3"/>
      <c r="I1510" s="3"/>
      <c r="J1510" s="3"/>
      <c r="K1510" s="3"/>
      <c r="M1510" s="10"/>
      <c r="N1510" s="3"/>
      <c r="O1510" s="3"/>
      <c r="P1510" s="3"/>
    </row>
    <row r="1511" spans="4:16" x14ac:dyDescent="0.25">
      <c r="D1511" s="2"/>
      <c r="F1511" s="3"/>
      <c r="G1511" s="3"/>
      <c r="H1511" s="3"/>
      <c r="I1511" s="3"/>
      <c r="J1511" s="3"/>
      <c r="K1511" s="3"/>
      <c r="M1511" s="10"/>
      <c r="N1511" s="3"/>
      <c r="O1511" s="3"/>
      <c r="P1511" s="3"/>
    </row>
    <row r="1512" spans="4:16" x14ac:dyDescent="0.25">
      <c r="D1512" s="2"/>
      <c r="F1512" s="3"/>
      <c r="G1512" s="3"/>
      <c r="H1512" s="3"/>
      <c r="I1512" s="3"/>
      <c r="J1512" s="3"/>
      <c r="K1512" s="3"/>
      <c r="M1512" s="10"/>
      <c r="N1512" s="3"/>
      <c r="O1512" s="3"/>
      <c r="P1512" s="3"/>
    </row>
    <row r="1513" spans="4:16" x14ac:dyDescent="0.25">
      <c r="D1513" s="2"/>
      <c r="F1513" s="3"/>
      <c r="G1513" s="3"/>
      <c r="H1513" s="3"/>
      <c r="I1513" s="3"/>
      <c r="J1513" s="3"/>
      <c r="K1513" s="3"/>
      <c r="M1513" s="10"/>
      <c r="N1513" s="3"/>
      <c r="O1513" s="3"/>
      <c r="P1513" s="3"/>
    </row>
    <row r="1514" spans="4:16" x14ac:dyDescent="0.25">
      <c r="D1514" s="2"/>
      <c r="F1514" s="3"/>
      <c r="G1514" s="3"/>
      <c r="H1514" s="3"/>
      <c r="I1514" s="3"/>
      <c r="J1514" s="3"/>
      <c r="K1514" s="3"/>
      <c r="M1514" s="10"/>
      <c r="N1514" s="3"/>
      <c r="O1514" s="3"/>
      <c r="P1514" s="3"/>
    </row>
    <row r="1515" spans="4:16" x14ac:dyDescent="0.25">
      <c r="D1515" s="2"/>
      <c r="F1515" s="3"/>
      <c r="G1515" s="3"/>
      <c r="H1515" s="3"/>
      <c r="I1515" s="3"/>
      <c r="J1515" s="3"/>
      <c r="K1515" s="3"/>
      <c r="M1515" s="10"/>
      <c r="N1515" s="3"/>
      <c r="O1515" s="3"/>
      <c r="P1515" s="3"/>
    </row>
    <row r="1516" spans="4:16" x14ac:dyDescent="0.25">
      <c r="D1516" s="2"/>
      <c r="F1516" s="3"/>
      <c r="G1516" s="3"/>
      <c r="H1516" s="3"/>
      <c r="I1516" s="3"/>
      <c r="J1516" s="3"/>
      <c r="K1516" s="3"/>
      <c r="M1516" s="10"/>
      <c r="N1516" s="3"/>
      <c r="O1516" s="3"/>
      <c r="P1516" s="3"/>
    </row>
    <row r="1517" spans="4:16" x14ac:dyDescent="0.25">
      <c r="D1517" s="2"/>
      <c r="F1517" s="3"/>
      <c r="G1517" s="3"/>
      <c r="H1517" s="3"/>
      <c r="I1517" s="3"/>
      <c r="J1517" s="3"/>
      <c r="K1517" s="3"/>
      <c r="M1517" s="10"/>
      <c r="N1517" s="3"/>
      <c r="O1517" s="3"/>
      <c r="P1517" s="3"/>
    </row>
    <row r="1518" spans="4:16" x14ac:dyDescent="0.25">
      <c r="D1518" s="2"/>
      <c r="F1518" s="3"/>
      <c r="G1518" s="3"/>
      <c r="H1518" s="3"/>
      <c r="I1518" s="3"/>
      <c r="J1518" s="3"/>
      <c r="K1518" s="3"/>
      <c r="M1518" s="10"/>
      <c r="N1518" s="3"/>
      <c r="O1518" s="3"/>
      <c r="P1518" s="3"/>
    </row>
    <row r="1519" spans="4:16" x14ac:dyDescent="0.25">
      <c r="D1519" s="2"/>
      <c r="F1519" s="3"/>
      <c r="G1519" s="3"/>
      <c r="H1519" s="3"/>
      <c r="I1519" s="3"/>
      <c r="J1519" s="3"/>
      <c r="K1519" s="3"/>
      <c r="M1519" s="10"/>
      <c r="N1519" s="3"/>
      <c r="O1519" s="3"/>
      <c r="P1519" s="3"/>
    </row>
    <row r="1520" spans="4:16" x14ac:dyDescent="0.25">
      <c r="D1520" s="2"/>
      <c r="F1520" s="3"/>
      <c r="G1520" s="3"/>
      <c r="H1520" s="3"/>
      <c r="I1520" s="3"/>
      <c r="J1520" s="3"/>
      <c r="K1520" s="3"/>
      <c r="M1520" s="10"/>
      <c r="N1520" s="3"/>
      <c r="O1520" s="3"/>
      <c r="P1520" s="3"/>
    </row>
    <row r="1521" spans="4:16" x14ac:dyDescent="0.25">
      <c r="D1521" s="2"/>
      <c r="F1521" s="3"/>
      <c r="G1521" s="3"/>
      <c r="H1521" s="3"/>
      <c r="I1521" s="3"/>
      <c r="J1521" s="3"/>
      <c r="K1521" s="3"/>
      <c r="M1521" s="10"/>
      <c r="N1521" s="3"/>
      <c r="O1521" s="3"/>
      <c r="P1521" s="3"/>
    </row>
    <row r="1522" spans="4:16" x14ac:dyDescent="0.25">
      <c r="D1522" s="2"/>
      <c r="F1522" s="3"/>
      <c r="G1522" s="3"/>
      <c r="H1522" s="3"/>
      <c r="I1522" s="3"/>
      <c r="J1522" s="3"/>
      <c r="K1522" s="3"/>
      <c r="M1522" s="10"/>
      <c r="N1522" s="3"/>
      <c r="O1522" s="3"/>
      <c r="P1522" s="3"/>
    </row>
    <row r="1523" spans="4:16" x14ac:dyDescent="0.25">
      <c r="D1523" s="2"/>
      <c r="F1523" s="3"/>
      <c r="G1523" s="3"/>
      <c r="H1523" s="3"/>
      <c r="I1523" s="3"/>
      <c r="J1523" s="3"/>
      <c r="K1523" s="3"/>
      <c r="M1523" s="10"/>
      <c r="N1523" s="3"/>
      <c r="O1523" s="3"/>
      <c r="P1523" s="3"/>
    </row>
    <row r="1524" spans="4:16" x14ac:dyDescent="0.25">
      <c r="D1524" s="2"/>
      <c r="F1524" s="3"/>
      <c r="G1524" s="3"/>
      <c r="H1524" s="3"/>
      <c r="I1524" s="3"/>
      <c r="J1524" s="3"/>
      <c r="K1524" s="3"/>
      <c r="M1524" s="10"/>
      <c r="N1524" s="3"/>
      <c r="O1524" s="3"/>
      <c r="P1524" s="3"/>
    </row>
    <row r="1525" spans="4:16" x14ac:dyDescent="0.25">
      <c r="D1525" s="2"/>
      <c r="F1525" s="3"/>
      <c r="G1525" s="3"/>
      <c r="H1525" s="3"/>
      <c r="I1525" s="3"/>
      <c r="J1525" s="3"/>
      <c r="K1525" s="3"/>
      <c r="M1525" s="10"/>
      <c r="N1525" s="3"/>
      <c r="O1525" s="3"/>
      <c r="P1525" s="3"/>
    </row>
    <row r="1526" spans="4:16" x14ac:dyDescent="0.25">
      <c r="D1526" s="2"/>
      <c r="F1526" s="3"/>
      <c r="G1526" s="3"/>
      <c r="H1526" s="3"/>
      <c r="I1526" s="3"/>
      <c r="J1526" s="3"/>
      <c r="K1526" s="3"/>
      <c r="M1526" s="10"/>
      <c r="N1526" s="3"/>
      <c r="O1526" s="3"/>
      <c r="P1526" s="3"/>
    </row>
    <row r="1527" spans="4:16" x14ac:dyDescent="0.25">
      <c r="D1527" s="2"/>
      <c r="F1527" s="3"/>
      <c r="G1527" s="3"/>
      <c r="H1527" s="3"/>
      <c r="I1527" s="3"/>
      <c r="J1527" s="3"/>
      <c r="K1527" s="3"/>
      <c r="M1527" s="10"/>
      <c r="N1527" s="3"/>
      <c r="O1527" s="3"/>
      <c r="P1527" s="3"/>
    </row>
    <row r="1528" spans="4:16" x14ac:dyDescent="0.25">
      <c r="D1528" s="2"/>
      <c r="F1528" s="3"/>
      <c r="G1528" s="3"/>
      <c r="H1528" s="3"/>
      <c r="I1528" s="3"/>
      <c r="J1528" s="3"/>
      <c r="K1528" s="3"/>
      <c r="M1528" s="10"/>
      <c r="N1528" s="3"/>
      <c r="O1528" s="3"/>
      <c r="P1528" s="3"/>
    </row>
    <row r="1529" spans="4:16" x14ac:dyDescent="0.25">
      <c r="D1529" s="2"/>
      <c r="F1529" s="3"/>
      <c r="G1529" s="3"/>
      <c r="H1529" s="3"/>
      <c r="I1529" s="3"/>
      <c r="J1529" s="3"/>
      <c r="K1529" s="3"/>
      <c r="M1529" s="10"/>
      <c r="N1529" s="3"/>
      <c r="O1529" s="3"/>
      <c r="P1529" s="3"/>
    </row>
    <row r="1530" spans="4:16" x14ac:dyDescent="0.25">
      <c r="D1530" s="2"/>
      <c r="F1530" s="3"/>
      <c r="G1530" s="3"/>
      <c r="H1530" s="3"/>
      <c r="I1530" s="3"/>
      <c r="J1530" s="3"/>
      <c r="K1530" s="3"/>
      <c r="M1530" s="10"/>
      <c r="N1530" s="3"/>
      <c r="O1530" s="3"/>
      <c r="P1530" s="3"/>
    </row>
    <row r="1531" spans="4:16" x14ac:dyDescent="0.25">
      <c r="D1531" s="2"/>
      <c r="F1531" s="3"/>
      <c r="G1531" s="3"/>
      <c r="H1531" s="3"/>
      <c r="I1531" s="3"/>
      <c r="J1531" s="3"/>
      <c r="K1531" s="3"/>
      <c r="M1531" s="10"/>
      <c r="N1531" s="3"/>
      <c r="O1531" s="3"/>
      <c r="P1531" s="3"/>
    </row>
    <row r="1532" spans="4:16" x14ac:dyDescent="0.25">
      <c r="D1532" s="2"/>
      <c r="F1532" s="3"/>
      <c r="G1532" s="3"/>
      <c r="H1532" s="3"/>
      <c r="I1532" s="3"/>
      <c r="J1532" s="3"/>
      <c r="K1532" s="3"/>
      <c r="M1532" s="10"/>
      <c r="N1532" s="3"/>
      <c r="O1532" s="3"/>
      <c r="P1532" s="3"/>
    </row>
    <row r="1533" spans="4:16" x14ac:dyDescent="0.25">
      <c r="D1533" s="2"/>
      <c r="F1533" s="3"/>
      <c r="G1533" s="3"/>
      <c r="H1533" s="3"/>
      <c r="I1533" s="3"/>
      <c r="J1533" s="3"/>
      <c r="K1533" s="3"/>
      <c r="M1533" s="10"/>
      <c r="N1533" s="3"/>
      <c r="O1533" s="3"/>
      <c r="P1533" s="3"/>
    </row>
    <row r="1534" spans="4:16" x14ac:dyDescent="0.25">
      <c r="D1534" s="2"/>
      <c r="F1534" s="3"/>
      <c r="G1534" s="3"/>
      <c r="H1534" s="3"/>
      <c r="I1534" s="3"/>
      <c r="J1534" s="3"/>
      <c r="K1534" s="3"/>
      <c r="M1534" s="10"/>
      <c r="N1534" s="3"/>
      <c r="O1534" s="3"/>
      <c r="P1534" s="3"/>
    </row>
    <row r="1535" spans="4:16" x14ac:dyDescent="0.25">
      <c r="D1535" s="2"/>
      <c r="F1535" s="3"/>
      <c r="G1535" s="3"/>
      <c r="H1535" s="3"/>
      <c r="I1535" s="3"/>
      <c r="J1535" s="3"/>
      <c r="K1535" s="3"/>
      <c r="M1535" s="10"/>
      <c r="N1535" s="3"/>
      <c r="O1535" s="3"/>
      <c r="P1535" s="3"/>
    </row>
    <row r="1536" spans="4:16" x14ac:dyDescent="0.25">
      <c r="D1536" s="2"/>
      <c r="F1536" s="3"/>
      <c r="G1536" s="3"/>
      <c r="H1536" s="3"/>
      <c r="I1536" s="3"/>
      <c r="J1536" s="3"/>
      <c r="K1536" s="3"/>
      <c r="M1536" s="10"/>
      <c r="N1536" s="3"/>
      <c r="O1536" s="3"/>
      <c r="P1536" s="3"/>
    </row>
    <row r="1537" spans="4:16" x14ac:dyDescent="0.25">
      <c r="D1537" s="2"/>
      <c r="F1537" s="3"/>
      <c r="G1537" s="3"/>
      <c r="H1537" s="3"/>
      <c r="I1537" s="3"/>
      <c r="J1537" s="3"/>
      <c r="K1537" s="3"/>
      <c r="M1537" s="10"/>
      <c r="N1537" s="3"/>
      <c r="O1537" s="3"/>
      <c r="P1537" s="3"/>
    </row>
    <row r="1538" spans="4:16" x14ac:dyDescent="0.25">
      <c r="D1538" s="2"/>
      <c r="F1538" s="3"/>
      <c r="G1538" s="3"/>
      <c r="H1538" s="3"/>
      <c r="I1538" s="3"/>
      <c r="J1538" s="3"/>
      <c r="K1538" s="3"/>
      <c r="M1538" s="10"/>
      <c r="N1538" s="3"/>
      <c r="O1538" s="3"/>
      <c r="P1538" s="3"/>
    </row>
    <row r="1539" spans="4:16" x14ac:dyDescent="0.25">
      <c r="D1539" s="2"/>
      <c r="F1539" s="3"/>
      <c r="G1539" s="3"/>
      <c r="H1539" s="3"/>
      <c r="I1539" s="3"/>
      <c r="J1539" s="3"/>
      <c r="K1539" s="3"/>
      <c r="M1539" s="10"/>
      <c r="N1539" s="3"/>
      <c r="O1539" s="3"/>
      <c r="P1539" s="3"/>
    </row>
    <row r="1540" spans="4:16" x14ac:dyDescent="0.25">
      <c r="D1540" s="2"/>
      <c r="F1540" s="3"/>
      <c r="G1540" s="3"/>
      <c r="H1540" s="3"/>
      <c r="I1540" s="3"/>
      <c r="J1540" s="3"/>
      <c r="K1540" s="3"/>
      <c r="M1540" s="10"/>
      <c r="N1540" s="3"/>
      <c r="O1540" s="3"/>
      <c r="P1540" s="3"/>
    </row>
    <row r="1541" spans="4:16" x14ac:dyDescent="0.25">
      <c r="D1541" s="2"/>
      <c r="F1541" s="3"/>
      <c r="G1541" s="3"/>
      <c r="H1541" s="3"/>
      <c r="I1541" s="3"/>
      <c r="J1541" s="3"/>
      <c r="K1541" s="3"/>
      <c r="M1541" s="10"/>
      <c r="N1541" s="3"/>
      <c r="O1541" s="3"/>
      <c r="P1541" s="3"/>
    </row>
    <row r="1542" spans="4:16" x14ac:dyDescent="0.25">
      <c r="D1542" s="2"/>
      <c r="F1542" s="3"/>
      <c r="G1542" s="3"/>
      <c r="H1542" s="3"/>
      <c r="I1542" s="3"/>
      <c r="J1542" s="3"/>
      <c r="K1542" s="3"/>
      <c r="M1542" s="10"/>
      <c r="N1542" s="3"/>
      <c r="O1542" s="3"/>
      <c r="P1542" s="3"/>
    </row>
    <row r="1543" spans="4:16" x14ac:dyDescent="0.25">
      <c r="D1543" s="2"/>
      <c r="F1543" s="3"/>
      <c r="G1543" s="3"/>
      <c r="H1543" s="3"/>
      <c r="I1543" s="3"/>
      <c r="J1543" s="3"/>
      <c r="K1543" s="3"/>
      <c r="M1543" s="10"/>
      <c r="N1543" s="3"/>
      <c r="O1543" s="3"/>
      <c r="P1543" s="3"/>
    </row>
    <row r="1544" spans="4:16" x14ac:dyDescent="0.25">
      <c r="D1544" s="2"/>
      <c r="F1544" s="3"/>
      <c r="G1544" s="3"/>
      <c r="H1544" s="3"/>
      <c r="I1544" s="3"/>
      <c r="J1544" s="3"/>
      <c r="K1544" s="3"/>
      <c r="M1544" s="10"/>
      <c r="N1544" s="3"/>
      <c r="O1544" s="3"/>
      <c r="P1544" s="3"/>
    </row>
    <row r="1545" spans="4:16" x14ac:dyDescent="0.25">
      <c r="D1545" s="2"/>
      <c r="F1545" s="3"/>
      <c r="G1545" s="3"/>
      <c r="H1545" s="3"/>
      <c r="I1545" s="3"/>
      <c r="J1545" s="3"/>
      <c r="K1545" s="3"/>
      <c r="M1545" s="10"/>
      <c r="N1545" s="3"/>
      <c r="O1545" s="3"/>
      <c r="P1545" s="3"/>
    </row>
    <row r="1546" spans="4:16" x14ac:dyDescent="0.25">
      <c r="D1546" s="2"/>
      <c r="F1546" s="3"/>
      <c r="G1546" s="3"/>
      <c r="H1546" s="3"/>
      <c r="I1546" s="3"/>
      <c r="J1546" s="3"/>
      <c r="K1546" s="3"/>
      <c r="M1546" s="10"/>
      <c r="N1546" s="3"/>
      <c r="O1546" s="3"/>
      <c r="P1546" s="3"/>
    </row>
    <row r="1547" spans="4:16" x14ac:dyDescent="0.25">
      <c r="D1547" s="2"/>
      <c r="F1547" s="3"/>
      <c r="G1547" s="3"/>
      <c r="H1547" s="3"/>
      <c r="I1547" s="3"/>
      <c r="J1547" s="3"/>
      <c r="K1547" s="3"/>
      <c r="M1547" s="10"/>
      <c r="N1547" s="3"/>
      <c r="O1547" s="3"/>
      <c r="P1547" s="3"/>
    </row>
    <row r="1548" spans="4:16" x14ac:dyDescent="0.25">
      <c r="D1548" s="2"/>
      <c r="F1548" s="3"/>
      <c r="G1548" s="3"/>
      <c r="H1548" s="3"/>
      <c r="I1548" s="3"/>
      <c r="J1548" s="3"/>
      <c r="K1548" s="3"/>
      <c r="M1548" s="10"/>
      <c r="N1548" s="3"/>
      <c r="O1548" s="3"/>
      <c r="P1548" s="3"/>
    </row>
    <row r="1549" spans="4:16" x14ac:dyDescent="0.25">
      <c r="D1549" s="2"/>
      <c r="F1549" s="3"/>
      <c r="G1549" s="3"/>
      <c r="H1549" s="3"/>
      <c r="I1549" s="3"/>
      <c r="J1549" s="3"/>
      <c r="K1549" s="3"/>
      <c r="M1549" s="10"/>
      <c r="N1549" s="3"/>
      <c r="O1549" s="3"/>
      <c r="P1549" s="3"/>
    </row>
    <row r="1550" spans="4:16" x14ac:dyDescent="0.25">
      <c r="D1550" s="2"/>
      <c r="F1550" s="3"/>
      <c r="G1550" s="3"/>
      <c r="H1550" s="3"/>
      <c r="I1550" s="3"/>
      <c r="J1550" s="3"/>
      <c r="K1550" s="3"/>
      <c r="M1550" s="10"/>
      <c r="N1550" s="3"/>
      <c r="O1550" s="3"/>
      <c r="P1550" s="3"/>
    </row>
    <row r="1551" spans="4:16" x14ac:dyDescent="0.25">
      <c r="D1551" s="2"/>
      <c r="F1551" s="3"/>
      <c r="G1551" s="3"/>
      <c r="H1551" s="3"/>
      <c r="I1551" s="3"/>
      <c r="J1551" s="3"/>
      <c r="K1551" s="3"/>
      <c r="M1551" s="10"/>
      <c r="N1551" s="3"/>
      <c r="O1551" s="3"/>
      <c r="P1551" s="3"/>
    </row>
    <row r="1552" spans="4:16" x14ac:dyDescent="0.25">
      <c r="D1552" s="2"/>
      <c r="F1552" s="3"/>
      <c r="G1552" s="3"/>
      <c r="H1552" s="3"/>
      <c r="I1552" s="3"/>
      <c r="J1552" s="3"/>
      <c r="K1552" s="3"/>
      <c r="M1552" s="10"/>
      <c r="N1552" s="3"/>
      <c r="O1552" s="3"/>
      <c r="P1552" s="3"/>
    </row>
    <row r="1553" spans="4:16" x14ac:dyDescent="0.25">
      <c r="D1553" s="2"/>
      <c r="F1553" s="3"/>
      <c r="G1553" s="3"/>
      <c r="H1553" s="3"/>
      <c r="I1553" s="3"/>
      <c r="J1553" s="3"/>
      <c r="K1553" s="3"/>
      <c r="M1553" s="10"/>
      <c r="N1553" s="3"/>
      <c r="O1553" s="3"/>
      <c r="P1553" s="3"/>
    </row>
    <row r="1554" spans="4:16" x14ac:dyDescent="0.25">
      <c r="D1554" s="2"/>
      <c r="F1554" s="3"/>
      <c r="G1554" s="3"/>
      <c r="H1554" s="3"/>
      <c r="I1554" s="3"/>
      <c r="J1554" s="3"/>
      <c r="K1554" s="3"/>
      <c r="M1554" s="10"/>
      <c r="N1554" s="3"/>
      <c r="O1554" s="3"/>
      <c r="P1554" s="3"/>
    </row>
    <row r="1555" spans="4:16" x14ac:dyDescent="0.25">
      <c r="D1555" s="2"/>
      <c r="F1555" s="3"/>
      <c r="G1555" s="3"/>
      <c r="H1555" s="3"/>
      <c r="I1555" s="3"/>
      <c r="J1555" s="3"/>
      <c r="K1555" s="3"/>
      <c r="M1555" s="10"/>
      <c r="N1555" s="3"/>
      <c r="O1555" s="3"/>
      <c r="P1555" s="3"/>
    </row>
    <row r="1556" spans="4:16" x14ac:dyDescent="0.25">
      <c r="D1556" s="2"/>
      <c r="F1556" s="3"/>
      <c r="G1556" s="3"/>
      <c r="H1556" s="3"/>
      <c r="I1556" s="3"/>
      <c r="J1556" s="3"/>
      <c r="K1556" s="3"/>
      <c r="M1556" s="10"/>
      <c r="N1556" s="3"/>
      <c r="O1556" s="3"/>
      <c r="P1556" s="3"/>
    </row>
    <row r="1557" spans="4:16" x14ac:dyDescent="0.25">
      <c r="D1557" s="2"/>
      <c r="F1557" s="3"/>
      <c r="G1557" s="3"/>
      <c r="H1557" s="3"/>
      <c r="I1557" s="3"/>
      <c r="J1557" s="3"/>
      <c r="K1557" s="3"/>
      <c r="M1557" s="10"/>
      <c r="N1557" s="3"/>
      <c r="O1557" s="3"/>
      <c r="P1557" s="3"/>
    </row>
    <row r="1558" spans="4:16" x14ac:dyDescent="0.25">
      <c r="D1558" s="2"/>
      <c r="F1558" s="3"/>
      <c r="G1558" s="3"/>
      <c r="H1558" s="3"/>
      <c r="I1558" s="3"/>
      <c r="J1558" s="3"/>
      <c r="K1558" s="3"/>
      <c r="M1558" s="10"/>
      <c r="N1558" s="3"/>
      <c r="O1558" s="3"/>
      <c r="P1558" s="3"/>
    </row>
    <row r="1559" spans="4:16" x14ac:dyDescent="0.25">
      <c r="D1559" s="2"/>
      <c r="F1559" s="3"/>
      <c r="G1559" s="3"/>
      <c r="H1559" s="3"/>
      <c r="I1559" s="3"/>
      <c r="J1559" s="3"/>
      <c r="K1559" s="3"/>
      <c r="M1559" s="10"/>
      <c r="N1559" s="3"/>
      <c r="O1559" s="3"/>
      <c r="P1559" s="3"/>
    </row>
    <row r="1560" spans="4:16" x14ac:dyDescent="0.25">
      <c r="D1560" s="2"/>
      <c r="F1560" s="3"/>
      <c r="G1560" s="3"/>
      <c r="H1560" s="3"/>
      <c r="I1560" s="3"/>
      <c r="J1560" s="3"/>
      <c r="K1560" s="3"/>
      <c r="M1560" s="10"/>
      <c r="N1560" s="3"/>
      <c r="O1560" s="3"/>
      <c r="P1560" s="3"/>
    </row>
    <row r="1561" spans="4:16" x14ac:dyDescent="0.25">
      <c r="D1561" s="2"/>
      <c r="F1561" s="3"/>
      <c r="G1561" s="3"/>
      <c r="H1561" s="3"/>
      <c r="I1561" s="3"/>
      <c r="J1561" s="3"/>
      <c r="K1561" s="3"/>
      <c r="M1561" s="10"/>
      <c r="N1561" s="3"/>
      <c r="O1561" s="3"/>
      <c r="P1561" s="3"/>
    </row>
    <row r="1562" spans="4:16" x14ac:dyDescent="0.25">
      <c r="D1562" s="2"/>
      <c r="F1562" s="3"/>
      <c r="G1562" s="3"/>
      <c r="H1562" s="3"/>
      <c r="I1562" s="3"/>
      <c r="J1562" s="3"/>
      <c r="K1562" s="3"/>
      <c r="M1562" s="10"/>
      <c r="N1562" s="3"/>
      <c r="O1562" s="3"/>
      <c r="P1562" s="3"/>
    </row>
    <row r="1563" spans="4:16" x14ac:dyDescent="0.25">
      <c r="D1563" s="2"/>
      <c r="F1563" s="3"/>
      <c r="G1563" s="3"/>
      <c r="H1563" s="3"/>
      <c r="I1563" s="3"/>
      <c r="J1563" s="3"/>
      <c r="K1563" s="3"/>
      <c r="M1563" s="10"/>
      <c r="N1563" s="3"/>
      <c r="O1563" s="3"/>
      <c r="P1563" s="3"/>
    </row>
    <row r="1564" spans="4:16" x14ac:dyDescent="0.25">
      <c r="D1564" s="2"/>
      <c r="F1564" s="3"/>
      <c r="G1564" s="3"/>
      <c r="H1564" s="3"/>
      <c r="I1564" s="3"/>
      <c r="J1564" s="3"/>
      <c r="K1564" s="3"/>
      <c r="M1564" s="10"/>
      <c r="N1564" s="3"/>
      <c r="O1564" s="3"/>
      <c r="P1564" s="3"/>
    </row>
    <row r="1565" spans="4:16" x14ac:dyDescent="0.25">
      <c r="D1565" s="2"/>
      <c r="F1565" s="3"/>
      <c r="G1565" s="3"/>
      <c r="H1565" s="3"/>
      <c r="I1565" s="3"/>
      <c r="J1565" s="3"/>
      <c r="K1565" s="3"/>
      <c r="M1565" s="10"/>
      <c r="N1565" s="3"/>
      <c r="O1565" s="3"/>
      <c r="P1565" s="3"/>
    </row>
    <row r="1566" spans="4:16" x14ac:dyDescent="0.25">
      <c r="D1566" s="2"/>
      <c r="F1566" s="3"/>
      <c r="G1566" s="3"/>
      <c r="H1566" s="3"/>
      <c r="I1566" s="3"/>
      <c r="J1566" s="3"/>
      <c r="K1566" s="3"/>
      <c r="M1566" s="10"/>
      <c r="N1566" s="3"/>
      <c r="O1566" s="3"/>
      <c r="P1566" s="3"/>
    </row>
    <row r="1567" spans="4:16" x14ac:dyDescent="0.25">
      <c r="D1567" s="2"/>
      <c r="F1567" s="3"/>
      <c r="G1567" s="3"/>
      <c r="H1567" s="3"/>
      <c r="I1567" s="3"/>
      <c r="J1567" s="3"/>
      <c r="K1567" s="3"/>
      <c r="M1567" s="10"/>
      <c r="N1567" s="3"/>
      <c r="O1567" s="3"/>
      <c r="P1567" s="3"/>
    </row>
    <row r="1568" spans="4:16" x14ac:dyDescent="0.25">
      <c r="D1568" s="2"/>
      <c r="F1568" s="3"/>
      <c r="G1568" s="3"/>
      <c r="H1568" s="3"/>
      <c r="I1568" s="3"/>
      <c r="J1568" s="3"/>
      <c r="K1568" s="3"/>
      <c r="M1568" s="10"/>
      <c r="N1568" s="3"/>
      <c r="O1568" s="3"/>
      <c r="P1568" s="3"/>
    </row>
    <row r="1569" spans="4:16" x14ac:dyDescent="0.25">
      <c r="D1569" s="2"/>
      <c r="F1569" s="3"/>
      <c r="G1569" s="3"/>
      <c r="H1569" s="3"/>
      <c r="I1569" s="3"/>
      <c r="J1569" s="3"/>
      <c r="K1569" s="3"/>
      <c r="M1569" s="10"/>
      <c r="N1569" s="3"/>
      <c r="O1569" s="3"/>
      <c r="P1569" s="3"/>
    </row>
    <row r="1570" spans="4:16" x14ac:dyDescent="0.25">
      <c r="D1570" s="2"/>
      <c r="F1570" s="3"/>
      <c r="G1570" s="3"/>
      <c r="H1570" s="3"/>
      <c r="I1570" s="3"/>
      <c r="J1570" s="3"/>
      <c r="K1570" s="3"/>
      <c r="M1570" s="10"/>
      <c r="N1570" s="3"/>
      <c r="O1570" s="3"/>
      <c r="P1570" s="3"/>
    </row>
    <row r="1571" spans="4:16" x14ac:dyDescent="0.25">
      <c r="D1571" s="2"/>
      <c r="F1571" s="3"/>
      <c r="G1571" s="3"/>
      <c r="H1571" s="3"/>
      <c r="I1571" s="3"/>
      <c r="J1571" s="3"/>
      <c r="K1571" s="3"/>
      <c r="M1571" s="10"/>
      <c r="N1571" s="3"/>
      <c r="O1571" s="3"/>
      <c r="P1571" s="3"/>
    </row>
    <row r="1572" spans="4:16" x14ac:dyDescent="0.25">
      <c r="D1572" s="2"/>
      <c r="F1572" s="3"/>
      <c r="G1572" s="3"/>
      <c r="H1572" s="3"/>
      <c r="I1572" s="3"/>
      <c r="J1572" s="3"/>
      <c r="K1572" s="3"/>
      <c r="M1572" s="10"/>
      <c r="N1572" s="3"/>
      <c r="O1572" s="3"/>
      <c r="P1572" s="3"/>
    </row>
    <row r="1573" spans="4:16" x14ac:dyDescent="0.25">
      <c r="D1573" s="2"/>
      <c r="F1573" s="3"/>
      <c r="G1573" s="3"/>
      <c r="H1573" s="3"/>
      <c r="I1573" s="3"/>
      <c r="J1573" s="3"/>
      <c r="K1573" s="3"/>
      <c r="M1573" s="10"/>
      <c r="N1573" s="3"/>
      <c r="O1573" s="3"/>
      <c r="P1573" s="3"/>
    </row>
    <row r="1574" spans="4:16" x14ac:dyDescent="0.25">
      <c r="D1574" s="2"/>
      <c r="F1574" s="3"/>
      <c r="G1574" s="3"/>
      <c r="H1574" s="3"/>
      <c r="I1574" s="3"/>
      <c r="J1574" s="3"/>
      <c r="K1574" s="3"/>
      <c r="M1574" s="10"/>
      <c r="N1574" s="3"/>
      <c r="O1574" s="3"/>
      <c r="P1574" s="3"/>
    </row>
    <row r="1575" spans="4:16" x14ac:dyDescent="0.25">
      <c r="D1575" s="2"/>
      <c r="F1575" s="3"/>
      <c r="G1575" s="3"/>
      <c r="H1575" s="3"/>
      <c r="I1575" s="3"/>
      <c r="J1575" s="3"/>
      <c r="K1575" s="3"/>
      <c r="M1575" s="10"/>
      <c r="N1575" s="3"/>
      <c r="O1575" s="3"/>
      <c r="P1575" s="3"/>
    </row>
    <row r="1576" spans="4:16" x14ac:dyDescent="0.25">
      <c r="D1576" s="2"/>
      <c r="F1576" s="3"/>
      <c r="G1576" s="3"/>
      <c r="H1576" s="3"/>
      <c r="I1576" s="3"/>
      <c r="J1576" s="3"/>
      <c r="K1576" s="3"/>
      <c r="M1576" s="10"/>
      <c r="N1576" s="3"/>
      <c r="O1576" s="3"/>
      <c r="P1576" s="3"/>
    </row>
    <row r="1577" spans="4:16" x14ac:dyDescent="0.25">
      <c r="D1577" s="2"/>
      <c r="F1577" s="3"/>
      <c r="G1577" s="3"/>
      <c r="H1577" s="3"/>
      <c r="I1577" s="3"/>
      <c r="J1577" s="3"/>
      <c r="K1577" s="3"/>
      <c r="M1577" s="10"/>
      <c r="N1577" s="3"/>
      <c r="O1577" s="3"/>
      <c r="P1577" s="3"/>
    </row>
    <row r="1578" spans="4:16" x14ac:dyDescent="0.25">
      <c r="D1578" s="2"/>
      <c r="F1578" s="3"/>
      <c r="G1578" s="3"/>
      <c r="H1578" s="3"/>
      <c r="I1578" s="3"/>
      <c r="J1578" s="3"/>
      <c r="K1578" s="3"/>
      <c r="M1578" s="10"/>
      <c r="N1578" s="3"/>
      <c r="O1578" s="3"/>
      <c r="P1578" s="3"/>
    </row>
    <row r="1579" spans="4:16" x14ac:dyDescent="0.25">
      <c r="D1579" s="2"/>
      <c r="F1579" s="3"/>
      <c r="G1579" s="3"/>
      <c r="H1579" s="3"/>
      <c r="I1579" s="3"/>
      <c r="J1579" s="3"/>
      <c r="K1579" s="3"/>
      <c r="M1579" s="10"/>
      <c r="N1579" s="3"/>
      <c r="O1579" s="3"/>
      <c r="P1579" s="3"/>
    </row>
    <row r="1580" spans="4:16" x14ac:dyDescent="0.25">
      <c r="D1580" s="2"/>
      <c r="F1580" s="3"/>
      <c r="G1580" s="3"/>
      <c r="H1580" s="3"/>
      <c r="I1580" s="3"/>
      <c r="J1580" s="3"/>
      <c r="K1580" s="3"/>
      <c r="M1580" s="10"/>
      <c r="N1580" s="3"/>
      <c r="O1580" s="3"/>
      <c r="P1580" s="3"/>
    </row>
    <row r="1581" spans="4:16" x14ac:dyDescent="0.25">
      <c r="D1581" s="2"/>
      <c r="F1581" s="3"/>
      <c r="G1581" s="3"/>
      <c r="H1581" s="3"/>
      <c r="I1581" s="3"/>
      <c r="J1581" s="3"/>
      <c r="K1581" s="3"/>
      <c r="M1581" s="10"/>
      <c r="N1581" s="3"/>
      <c r="O1581" s="3"/>
      <c r="P1581" s="3"/>
    </row>
    <row r="1582" spans="4:16" x14ac:dyDescent="0.25">
      <c r="D1582" s="2"/>
      <c r="F1582" s="3"/>
      <c r="G1582" s="3"/>
      <c r="H1582" s="3"/>
      <c r="I1582" s="3"/>
      <c r="J1582" s="3"/>
      <c r="K1582" s="3"/>
      <c r="M1582" s="10"/>
      <c r="N1582" s="3"/>
      <c r="O1582" s="3"/>
      <c r="P1582" s="3"/>
    </row>
    <row r="1583" spans="4:16" x14ac:dyDescent="0.25">
      <c r="D1583" s="2"/>
      <c r="F1583" s="3"/>
      <c r="G1583" s="3"/>
      <c r="H1583" s="3"/>
      <c r="I1583" s="3"/>
      <c r="J1583" s="3"/>
      <c r="K1583" s="3"/>
      <c r="M1583" s="10"/>
      <c r="N1583" s="3"/>
      <c r="O1583" s="3"/>
      <c r="P1583" s="3"/>
    </row>
    <row r="1584" spans="4:16" x14ac:dyDescent="0.25">
      <c r="D1584" s="2"/>
      <c r="F1584" s="3"/>
      <c r="G1584" s="3"/>
      <c r="H1584" s="3"/>
      <c r="I1584" s="3"/>
      <c r="J1584" s="3"/>
      <c r="K1584" s="3"/>
      <c r="M1584" s="10"/>
      <c r="N1584" s="3"/>
      <c r="O1584" s="3"/>
      <c r="P1584" s="3"/>
    </row>
    <row r="1585" spans="4:16" x14ac:dyDescent="0.25">
      <c r="D1585" s="2"/>
      <c r="F1585" s="3"/>
      <c r="G1585" s="3"/>
      <c r="H1585" s="3"/>
      <c r="I1585" s="3"/>
      <c r="J1585" s="3"/>
      <c r="K1585" s="3"/>
      <c r="M1585" s="10"/>
      <c r="N1585" s="3"/>
      <c r="O1585" s="3"/>
      <c r="P1585" s="3"/>
    </row>
    <row r="1586" spans="4:16" x14ac:dyDescent="0.25">
      <c r="D1586" s="2"/>
      <c r="F1586" s="3"/>
      <c r="G1586" s="3"/>
      <c r="H1586" s="3"/>
      <c r="I1586" s="3"/>
      <c r="J1586" s="3"/>
      <c r="K1586" s="3"/>
      <c r="M1586" s="10"/>
      <c r="N1586" s="3"/>
      <c r="O1586" s="3"/>
      <c r="P1586" s="3"/>
    </row>
    <row r="1587" spans="4:16" x14ac:dyDescent="0.25">
      <c r="D1587" s="2"/>
      <c r="F1587" s="3"/>
      <c r="G1587" s="3"/>
      <c r="H1587" s="3"/>
      <c r="I1587" s="3"/>
      <c r="J1587" s="3"/>
      <c r="K1587" s="3"/>
      <c r="M1587" s="10"/>
      <c r="N1587" s="3"/>
      <c r="O1587" s="3"/>
      <c r="P1587" s="3"/>
    </row>
    <row r="1588" spans="4:16" x14ac:dyDescent="0.25">
      <c r="D1588" s="2"/>
      <c r="F1588" s="3"/>
      <c r="G1588" s="3"/>
      <c r="H1588" s="3"/>
      <c r="I1588" s="3"/>
      <c r="J1588" s="3"/>
      <c r="K1588" s="3"/>
      <c r="M1588" s="10"/>
      <c r="N1588" s="3"/>
      <c r="O1588" s="3"/>
      <c r="P1588" s="3"/>
    </row>
    <row r="1589" spans="4:16" x14ac:dyDescent="0.25">
      <c r="D1589" s="2"/>
      <c r="F1589" s="3"/>
      <c r="G1589" s="3"/>
      <c r="H1589" s="3"/>
      <c r="I1589" s="3"/>
      <c r="J1589" s="3"/>
      <c r="K1589" s="3"/>
      <c r="M1589" s="10"/>
      <c r="N1589" s="3"/>
      <c r="O1589" s="3"/>
      <c r="P1589" s="3"/>
    </row>
    <row r="1590" spans="4:16" x14ac:dyDescent="0.25">
      <c r="D1590" s="2"/>
      <c r="F1590" s="3"/>
      <c r="G1590" s="3"/>
      <c r="H1590" s="3"/>
      <c r="I1590" s="3"/>
      <c r="J1590" s="3"/>
      <c r="K1590" s="3"/>
      <c r="M1590" s="10"/>
      <c r="N1590" s="3"/>
      <c r="O1590" s="3"/>
      <c r="P1590" s="3"/>
    </row>
    <row r="1591" spans="4:16" x14ac:dyDescent="0.25">
      <c r="D1591" s="2"/>
      <c r="F1591" s="3"/>
      <c r="G1591" s="3"/>
      <c r="H1591" s="3"/>
      <c r="I1591" s="3"/>
      <c r="J1591" s="3"/>
      <c r="K1591" s="3"/>
      <c r="M1591" s="10"/>
      <c r="N1591" s="3"/>
      <c r="O1591" s="3"/>
      <c r="P1591" s="3"/>
    </row>
    <row r="1592" spans="4:16" x14ac:dyDescent="0.25">
      <c r="D1592" s="2"/>
      <c r="F1592" s="3"/>
      <c r="G1592" s="3"/>
      <c r="H1592" s="3"/>
      <c r="I1592" s="3"/>
      <c r="J1592" s="3"/>
      <c r="K1592" s="3"/>
      <c r="M1592" s="10"/>
      <c r="N1592" s="3"/>
      <c r="O1592" s="3"/>
      <c r="P1592" s="3"/>
    </row>
    <row r="1593" spans="4:16" x14ac:dyDescent="0.25">
      <c r="D1593" s="2"/>
      <c r="F1593" s="3"/>
      <c r="G1593" s="3"/>
      <c r="H1593" s="3"/>
      <c r="I1593" s="3"/>
      <c r="J1593" s="3"/>
      <c r="K1593" s="3"/>
      <c r="M1593" s="10"/>
      <c r="N1593" s="3"/>
      <c r="O1593" s="3"/>
      <c r="P1593" s="3"/>
    </row>
    <row r="1594" spans="4:16" x14ac:dyDescent="0.25">
      <c r="D1594" s="2"/>
      <c r="F1594" s="3"/>
      <c r="G1594" s="3"/>
      <c r="H1594" s="3"/>
      <c r="I1594" s="3"/>
      <c r="J1594" s="3"/>
      <c r="K1594" s="3"/>
      <c r="M1594" s="10"/>
      <c r="N1594" s="3"/>
      <c r="O1594" s="3"/>
      <c r="P1594" s="3"/>
    </row>
    <row r="1595" spans="4:16" x14ac:dyDescent="0.25">
      <c r="D1595" s="2"/>
      <c r="F1595" s="3"/>
      <c r="G1595" s="3"/>
      <c r="H1595" s="3"/>
      <c r="I1595" s="3"/>
      <c r="J1595" s="3"/>
      <c r="K1595" s="3"/>
      <c r="M1595" s="10"/>
      <c r="N1595" s="3"/>
      <c r="O1595" s="3"/>
      <c r="P1595" s="3"/>
    </row>
    <row r="1596" spans="4:16" x14ac:dyDescent="0.25">
      <c r="D1596" s="2"/>
      <c r="F1596" s="3"/>
      <c r="G1596" s="3"/>
      <c r="H1596" s="3"/>
      <c r="I1596" s="3"/>
      <c r="J1596" s="3"/>
      <c r="K1596" s="3"/>
      <c r="M1596" s="10"/>
      <c r="N1596" s="3"/>
      <c r="O1596" s="3"/>
      <c r="P1596" s="3"/>
    </row>
    <row r="1597" spans="4:16" x14ac:dyDescent="0.25">
      <c r="D1597" s="2"/>
      <c r="F1597" s="3"/>
      <c r="G1597" s="3"/>
      <c r="H1597" s="3"/>
      <c r="I1597" s="3"/>
      <c r="J1597" s="3"/>
      <c r="K1597" s="3"/>
      <c r="M1597" s="10"/>
      <c r="N1597" s="3"/>
      <c r="O1597" s="3"/>
      <c r="P1597" s="3"/>
    </row>
    <row r="1598" spans="4:16" x14ac:dyDescent="0.25">
      <c r="D1598" s="2"/>
      <c r="F1598" s="3"/>
      <c r="G1598" s="3"/>
      <c r="H1598" s="3"/>
      <c r="I1598" s="3"/>
      <c r="J1598" s="3"/>
      <c r="K1598" s="3"/>
      <c r="M1598" s="10"/>
      <c r="N1598" s="3"/>
      <c r="O1598" s="3"/>
      <c r="P1598" s="3"/>
    </row>
    <row r="1599" spans="4:16" x14ac:dyDescent="0.25">
      <c r="D1599" s="2"/>
      <c r="F1599" s="3"/>
      <c r="G1599" s="3"/>
      <c r="H1599" s="3"/>
      <c r="I1599" s="3"/>
      <c r="J1599" s="3"/>
      <c r="K1599" s="3"/>
      <c r="M1599" s="10"/>
      <c r="N1599" s="3"/>
      <c r="O1599" s="3"/>
      <c r="P1599" s="3"/>
    </row>
    <row r="1600" spans="4:16" x14ac:dyDescent="0.25">
      <c r="D1600" s="2"/>
      <c r="F1600" s="3"/>
      <c r="G1600" s="3"/>
      <c r="H1600" s="3"/>
      <c r="I1600" s="3"/>
      <c r="J1600" s="3"/>
      <c r="K1600" s="3"/>
      <c r="M1600" s="10"/>
      <c r="N1600" s="3"/>
      <c r="O1600" s="3"/>
      <c r="P1600" s="3"/>
    </row>
    <row r="1601" spans="4:16" x14ac:dyDescent="0.25">
      <c r="D1601" s="2"/>
      <c r="F1601" s="3"/>
      <c r="G1601" s="3"/>
      <c r="H1601" s="3"/>
      <c r="I1601" s="3"/>
      <c r="J1601" s="3"/>
      <c r="K1601" s="3"/>
      <c r="M1601" s="10"/>
      <c r="N1601" s="3"/>
      <c r="O1601" s="3"/>
      <c r="P1601" s="3"/>
    </row>
    <row r="1602" spans="4:16" x14ac:dyDescent="0.25">
      <c r="D1602" s="2"/>
      <c r="F1602" s="3"/>
      <c r="G1602" s="3"/>
      <c r="H1602" s="3"/>
      <c r="I1602" s="3"/>
      <c r="J1602" s="3"/>
      <c r="K1602" s="3"/>
      <c r="M1602" s="10"/>
      <c r="N1602" s="3"/>
      <c r="O1602" s="3"/>
      <c r="P1602" s="3"/>
    </row>
    <row r="1603" spans="4:16" x14ac:dyDescent="0.25">
      <c r="D1603" s="2"/>
      <c r="F1603" s="3"/>
      <c r="G1603" s="3"/>
      <c r="H1603" s="3"/>
      <c r="I1603" s="3"/>
      <c r="J1603" s="3"/>
      <c r="K1603" s="3"/>
      <c r="M1603" s="10"/>
      <c r="N1603" s="3"/>
      <c r="O1603" s="3"/>
      <c r="P1603" s="3"/>
    </row>
    <row r="1604" spans="4:16" x14ac:dyDescent="0.25">
      <c r="D1604" s="2"/>
      <c r="F1604" s="3"/>
      <c r="G1604" s="3"/>
      <c r="H1604" s="3"/>
      <c r="I1604" s="3"/>
      <c r="J1604" s="3"/>
      <c r="K1604" s="3"/>
      <c r="M1604" s="10"/>
      <c r="N1604" s="3"/>
      <c r="O1604" s="3"/>
      <c r="P1604" s="3"/>
    </row>
    <row r="1605" spans="4:16" x14ac:dyDescent="0.25">
      <c r="D1605" s="2"/>
      <c r="F1605" s="3"/>
      <c r="G1605" s="3"/>
      <c r="H1605" s="3"/>
      <c r="I1605" s="3"/>
      <c r="J1605" s="3"/>
      <c r="K1605" s="3"/>
      <c r="M1605" s="10"/>
      <c r="N1605" s="3"/>
      <c r="O1605" s="3"/>
      <c r="P1605" s="3"/>
    </row>
    <row r="1606" spans="4:16" x14ac:dyDescent="0.25">
      <c r="D1606" s="2"/>
      <c r="F1606" s="3"/>
      <c r="G1606" s="3"/>
      <c r="H1606" s="3"/>
      <c r="I1606" s="3"/>
      <c r="J1606" s="3"/>
      <c r="K1606" s="3"/>
      <c r="M1606" s="10"/>
      <c r="N1606" s="3"/>
      <c r="O1606" s="3"/>
      <c r="P1606" s="3"/>
    </row>
    <row r="1607" spans="4:16" x14ac:dyDescent="0.25">
      <c r="D1607" s="2"/>
      <c r="F1607" s="3"/>
      <c r="G1607" s="3"/>
      <c r="H1607" s="3"/>
      <c r="I1607" s="3"/>
      <c r="J1607" s="3"/>
      <c r="K1607" s="3"/>
      <c r="M1607" s="10"/>
      <c r="N1607" s="3"/>
      <c r="O1607" s="3"/>
      <c r="P1607" s="3"/>
    </row>
    <row r="1608" spans="4:16" x14ac:dyDescent="0.25">
      <c r="D1608" s="2"/>
      <c r="F1608" s="3"/>
      <c r="G1608" s="3"/>
      <c r="H1608" s="3"/>
      <c r="I1608" s="3"/>
      <c r="J1608" s="3"/>
      <c r="K1608" s="3"/>
      <c r="M1608" s="10"/>
      <c r="N1608" s="3"/>
      <c r="O1608" s="3"/>
      <c r="P1608" s="3"/>
    </row>
    <row r="1609" spans="4:16" x14ac:dyDescent="0.25">
      <c r="D1609" s="2"/>
      <c r="F1609" s="3"/>
      <c r="G1609" s="3"/>
      <c r="H1609" s="3"/>
      <c r="I1609" s="3"/>
      <c r="J1609" s="3"/>
      <c r="K1609" s="3"/>
      <c r="M1609" s="10"/>
      <c r="N1609" s="3"/>
      <c r="O1609" s="3"/>
      <c r="P1609" s="3"/>
    </row>
    <row r="1610" spans="4:16" x14ac:dyDescent="0.25">
      <c r="D1610" s="2"/>
      <c r="F1610" s="3"/>
      <c r="G1610" s="3"/>
      <c r="H1610" s="3"/>
      <c r="I1610" s="3"/>
      <c r="J1610" s="3"/>
      <c r="K1610" s="3"/>
      <c r="M1610" s="10"/>
      <c r="N1610" s="3"/>
      <c r="O1610" s="3"/>
      <c r="P1610" s="3"/>
    </row>
    <row r="1611" spans="4:16" x14ac:dyDescent="0.25">
      <c r="D1611" s="2"/>
      <c r="F1611" s="3"/>
      <c r="G1611" s="3"/>
      <c r="H1611" s="3"/>
      <c r="I1611" s="3"/>
      <c r="J1611" s="3"/>
      <c r="K1611" s="3"/>
      <c r="M1611" s="10"/>
      <c r="N1611" s="3"/>
      <c r="O1611" s="3"/>
      <c r="P1611" s="3"/>
    </row>
    <row r="1612" spans="4:16" x14ac:dyDescent="0.25">
      <c r="D1612" s="2"/>
      <c r="F1612" s="3"/>
      <c r="G1612" s="3"/>
      <c r="H1612" s="3"/>
      <c r="I1612" s="3"/>
      <c r="J1612" s="3"/>
      <c r="K1612" s="3"/>
      <c r="M1612" s="10"/>
      <c r="N1612" s="3"/>
      <c r="O1612" s="3"/>
      <c r="P1612" s="3"/>
    </row>
    <row r="1613" spans="4:16" x14ac:dyDescent="0.25">
      <c r="D1613" s="2"/>
      <c r="F1613" s="3"/>
      <c r="G1613" s="3"/>
      <c r="H1613" s="3"/>
      <c r="I1613" s="3"/>
      <c r="J1613" s="3"/>
      <c r="K1613" s="3"/>
      <c r="M1613" s="10"/>
      <c r="N1613" s="3"/>
      <c r="O1613" s="3"/>
      <c r="P1613" s="3"/>
    </row>
    <row r="1614" spans="4:16" x14ac:dyDescent="0.25">
      <c r="D1614" s="2"/>
      <c r="F1614" s="3"/>
      <c r="G1614" s="3"/>
      <c r="H1614" s="3"/>
      <c r="I1614" s="3"/>
      <c r="J1614" s="3"/>
      <c r="K1614" s="3"/>
      <c r="M1614" s="10"/>
      <c r="N1614" s="3"/>
      <c r="O1614" s="3"/>
      <c r="P1614" s="3"/>
    </row>
    <row r="1615" spans="4:16" x14ac:dyDescent="0.25">
      <c r="D1615" s="2"/>
      <c r="F1615" s="3"/>
      <c r="G1615" s="3"/>
      <c r="H1615" s="3"/>
      <c r="I1615" s="3"/>
      <c r="J1615" s="3"/>
      <c r="K1615" s="3"/>
      <c r="M1615" s="10"/>
      <c r="N1615" s="3"/>
      <c r="O1615" s="3"/>
      <c r="P1615" s="3"/>
    </row>
    <row r="1616" spans="4:16" x14ac:dyDescent="0.25">
      <c r="D1616" s="2"/>
      <c r="F1616" s="3"/>
      <c r="G1616" s="3"/>
      <c r="H1616" s="3"/>
      <c r="I1616" s="3"/>
      <c r="J1616" s="3"/>
      <c r="K1616" s="3"/>
      <c r="M1616" s="10"/>
      <c r="N1616" s="3"/>
      <c r="O1616" s="3"/>
      <c r="P1616" s="3"/>
    </row>
    <row r="1617" spans="4:16" x14ac:dyDescent="0.25">
      <c r="D1617" s="2"/>
      <c r="F1617" s="3"/>
      <c r="G1617" s="3"/>
      <c r="H1617" s="3"/>
      <c r="I1617" s="3"/>
      <c r="J1617" s="3"/>
      <c r="K1617" s="3"/>
      <c r="M1617" s="10"/>
      <c r="N1617" s="3"/>
      <c r="O1617" s="3"/>
      <c r="P1617" s="3"/>
    </row>
    <row r="1618" spans="4:16" x14ac:dyDescent="0.25">
      <c r="D1618" s="2"/>
      <c r="F1618" s="3"/>
      <c r="G1618" s="3"/>
      <c r="H1618" s="3"/>
      <c r="I1618" s="3"/>
      <c r="J1618" s="3"/>
      <c r="K1618" s="3"/>
      <c r="M1618" s="10"/>
      <c r="N1618" s="3"/>
      <c r="O1618" s="3"/>
      <c r="P1618" s="3"/>
    </row>
    <row r="1619" spans="4:16" x14ac:dyDescent="0.25">
      <c r="D1619" s="2"/>
      <c r="F1619" s="3"/>
      <c r="G1619" s="3"/>
      <c r="H1619" s="3"/>
      <c r="I1619" s="3"/>
      <c r="J1619" s="3"/>
      <c r="K1619" s="3"/>
      <c r="M1619" s="10"/>
      <c r="N1619" s="3"/>
      <c r="O1619" s="3"/>
      <c r="P1619" s="3"/>
    </row>
    <row r="1620" spans="4:16" x14ac:dyDescent="0.25">
      <c r="D1620" s="2"/>
      <c r="F1620" s="3"/>
      <c r="G1620" s="3"/>
      <c r="H1620" s="3"/>
      <c r="I1620" s="3"/>
      <c r="J1620" s="3"/>
      <c r="K1620" s="3"/>
      <c r="M1620" s="10"/>
      <c r="N1620" s="3"/>
      <c r="O1620" s="3"/>
      <c r="P1620" s="3"/>
    </row>
    <row r="1621" spans="4:16" x14ac:dyDescent="0.25">
      <c r="D1621" s="2"/>
      <c r="F1621" s="3"/>
      <c r="G1621" s="3"/>
      <c r="H1621" s="3"/>
      <c r="I1621" s="3"/>
      <c r="J1621" s="3"/>
      <c r="K1621" s="3"/>
      <c r="M1621" s="10"/>
      <c r="N1621" s="3"/>
      <c r="O1621" s="3"/>
      <c r="P1621" s="3"/>
    </row>
    <row r="1622" spans="4:16" x14ac:dyDescent="0.25">
      <c r="D1622" s="2"/>
      <c r="F1622" s="3"/>
      <c r="G1622" s="3"/>
      <c r="H1622" s="3"/>
      <c r="I1622" s="3"/>
      <c r="J1622" s="3"/>
      <c r="K1622" s="3"/>
      <c r="M1622" s="10"/>
      <c r="N1622" s="3"/>
      <c r="O1622" s="3"/>
      <c r="P1622" s="3"/>
    </row>
    <row r="1623" spans="4:16" x14ac:dyDescent="0.25">
      <c r="D1623" s="2"/>
      <c r="F1623" s="3"/>
      <c r="G1623" s="3"/>
      <c r="H1623" s="3"/>
      <c r="I1623" s="3"/>
      <c r="J1623" s="3"/>
      <c r="K1623" s="3"/>
      <c r="M1623" s="10"/>
      <c r="N1623" s="3"/>
      <c r="O1623" s="3"/>
      <c r="P1623" s="3"/>
    </row>
    <row r="1624" spans="4:16" x14ac:dyDescent="0.25">
      <c r="D1624" s="2"/>
      <c r="F1624" s="3"/>
      <c r="G1624" s="3"/>
      <c r="H1624" s="3"/>
      <c r="I1624" s="3"/>
      <c r="J1624" s="3"/>
      <c r="K1624" s="3"/>
      <c r="M1624" s="10"/>
      <c r="N1624" s="3"/>
      <c r="O1624" s="3"/>
      <c r="P1624" s="3"/>
    </row>
    <row r="1625" spans="4:16" x14ac:dyDescent="0.25">
      <c r="D1625" s="2"/>
      <c r="F1625" s="3"/>
      <c r="G1625" s="3"/>
      <c r="H1625" s="3"/>
      <c r="I1625" s="3"/>
      <c r="J1625" s="3"/>
      <c r="K1625" s="3"/>
      <c r="M1625" s="10"/>
      <c r="N1625" s="3"/>
      <c r="O1625" s="3"/>
      <c r="P1625" s="3"/>
    </row>
    <row r="1626" spans="4:16" x14ac:dyDescent="0.25">
      <c r="D1626" s="2"/>
      <c r="F1626" s="3"/>
      <c r="G1626" s="3"/>
      <c r="H1626" s="3"/>
      <c r="I1626" s="3"/>
      <c r="J1626" s="3"/>
      <c r="K1626" s="3"/>
      <c r="M1626" s="10"/>
      <c r="N1626" s="3"/>
      <c r="O1626" s="3"/>
      <c r="P1626" s="3"/>
    </row>
    <row r="1627" spans="4:16" x14ac:dyDescent="0.25">
      <c r="D1627" s="2"/>
      <c r="F1627" s="3"/>
      <c r="G1627" s="3"/>
      <c r="H1627" s="3"/>
      <c r="I1627" s="3"/>
      <c r="J1627" s="3"/>
      <c r="K1627" s="3"/>
      <c r="M1627" s="10"/>
      <c r="N1627" s="3"/>
      <c r="O1627" s="3"/>
      <c r="P1627" s="3"/>
    </row>
    <row r="1628" spans="4:16" x14ac:dyDescent="0.25">
      <c r="D1628" s="2"/>
      <c r="F1628" s="3"/>
      <c r="G1628" s="3"/>
      <c r="H1628" s="3"/>
      <c r="I1628" s="3"/>
      <c r="J1628" s="3"/>
      <c r="K1628" s="3"/>
      <c r="M1628" s="10"/>
      <c r="N1628" s="3"/>
      <c r="O1628" s="3"/>
      <c r="P1628" s="3"/>
    </row>
    <row r="1629" spans="4:16" x14ac:dyDescent="0.25">
      <c r="D1629" s="2"/>
      <c r="F1629" s="3"/>
      <c r="G1629" s="3"/>
      <c r="H1629" s="3"/>
      <c r="I1629" s="3"/>
      <c r="J1629" s="3"/>
      <c r="K1629" s="3"/>
      <c r="M1629" s="10"/>
      <c r="N1629" s="3"/>
      <c r="O1629" s="3"/>
      <c r="P1629" s="3"/>
    </row>
    <row r="1630" spans="4:16" x14ac:dyDescent="0.25">
      <c r="D1630" s="2"/>
      <c r="F1630" s="3"/>
      <c r="G1630" s="3"/>
      <c r="H1630" s="3"/>
      <c r="I1630" s="3"/>
      <c r="J1630" s="3"/>
      <c r="K1630" s="3"/>
      <c r="M1630" s="10"/>
      <c r="N1630" s="3"/>
      <c r="O1630" s="3"/>
      <c r="P1630" s="3"/>
    </row>
    <row r="1631" spans="4:16" x14ac:dyDescent="0.25">
      <c r="D1631" s="2"/>
      <c r="F1631" s="3"/>
      <c r="G1631" s="3"/>
      <c r="H1631" s="3"/>
      <c r="I1631" s="3"/>
      <c r="J1631" s="3"/>
      <c r="K1631" s="3"/>
      <c r="M1631" s="10"/>
      <c r="N1631" s="3"/>
      <c r="O1631" s="3"/>
      <c r="P1631" s="3"/>
    </row>
    <row r="1632" spans="4:16" x14ac:dyDescent="0.25">
      <c r="D1632" s="2"/>
      <c r="F1632" s="3"/>
      <c r="G1632" s="3"/>
      <c r="H1632" s="3"/>
      <c r="I1632" s="3"/>
      <c r="J1632" s="3"/>
      <c r="K1632" s="3"/>
      <c r="M1632" s="10"/>
      <c r="N1632" s="3"/>
      <c r="O1632" s="3"/>
      <c r="P1632" s="3"/>
    </row>
    <row r="1633" spans="4:16" x14ac:dyDescent="0.25">
      <c r="D1633" s="2"/>
      <c r="F1633" s="3"/>
      <c r="G1633" s="3"/>
      <c r="H1633" s="3"/>
      <c r="I1633" s="3"/>
      <c r="J1633" s="3"/>
      <c r="K1633" s="3"/>
      <c r="M1633" s="10"/>
      <c r="N1633" s="3"/>
      <c r="O1633" s="3"/>
      <c r="P1633" s="3"/>
    </row>
    <row r="1634" spans="4:16" x14ac:dyDescent="0.25">
      <c r="D1634" s="2"/>
      <c r="F1634" s="3"/>
      <c r="G1634" s="3"/>
      <c r="H1634" s="3"/>
      <c r="I1634" s="3"/>
      <c r="J1634" s="3"/>
      <c r="K1634" s="3"/>
      <c r="M1634" s="10"/>
      <c r="N1634" s="3"/>
      <c r="O1634" s="3"/>
      <c r="P1634" s="3"/>
    </row>
    <row r="1635" spans="4:16" x14ac:dyDescent="0.25">
      <c r="D1635" s="2"/>
      <c r="F1635" s="3"/>
      <c r="G1635" s="3"/>
      <c r="H1635" s="3"/>
      <c r="I1635" s="3"/>
      <c r="J1635" s="3"/>
      <c r="K1635" s="3"/>
      <c r="M1635" s="10"/>
      <c r="N1635" s="3"/>
      <c r="O1635" s="3"/>
      <c r="P1635" s="3"/>
    </row>
    <row r="1636" spans="4:16" x14ac:dyDescent="0.25">
      <c r="D1636" s="2"/>
      <c r="F1636" s="3"/>
      <c r="G1636" s="3"/>
      <c r="H1636" s="3"/>
      <c r="I1636" s="3"/>
      <c r="J1636" s="3"/>
      <c r="K1636" s="3"/>
      <c r="M1636" s="10"/>
      <c r="N1636" s="3"/>
      <c r="O1636" s="3"/>
      <c r="P1636" s="3"/>
    </row>
    <row r="1637" spans="4:16" x14ac:dyDescent="0.25">
      <c r="D1637" s="2"/>
      <c r="F1637" s="3"/>
      <c r="G1637" s="3"/>
      <c r="H1637" s="3"/>
      <c r="I1637" s="3"/>
      <c r="J1637" s="3"/>
      <c r="K1637" s="3"/>
      <c r="M1637" s="10"/>
      <c r="N1637" s="3"/>
      <c r="O1637" s="3"/>
      <c r="P1637" s="3"/>
    </row>
    <row r="1638" spans="4:16" x14ac:dyDescent="0.25">
      <c r="D1638" s="2"/>
      <c r="F1638" s="3"/>
      <c r="G1638" s="3"/>
      <c r="H1638" s="3"/>
      <c r="I1638" s="3"/>
      <c r="J1638" s="3"/>
      <c r="K1638" s="3"/>
      <c r="M1638" s="10"/>
      <c r="N1638" s="3"/>
      <c r="O1638" s="3"/>
      <c r="P1638" s="3"/>
    </row>
    <row r="1639" spans="4:16" x14ac:dyDescent="0.25">
      <c r="D1639" s="2"/>
      <c r="F1639" s="3"/>
      <c r="G1639" s="3"/>
      <c r="H1639" s="3"/>
      <c r="I1639" s="3"/>
      <c r="J1639" s="3"/>
      <c r="K1639" s="3"/>
      <c r="M1639" s="10"/>
      <c r="N1639" s="3"/>
      <c r="O1639" s="3"/>
      <c r="P1639" s="3"/>
    </row>
    <row r="1640" spans="4:16" x14ac:dyDescent="0.25">
      <c r="D1640" s="2"/>
      <c r="F1640" s="3"/>
      <c r="G1640" s="3"/>
      <c r="H1640" s="3"/>
      <c r="I1640" s="3"/>
      <c r="J1640" s="3"/>
      <c r="K1640" s="3"/>
      <c r="M1640" s="10"/>
      <c r="N1640" s="3"/>
      <c r="O1640" s="3"/>
      <c r="P1640" s="3"/>
    </row>
    <row r="1641" spans="4:16" x14ac:dyDescent="0.25">
      <c r="D1641" s="2"/>
      <c r="F1641" s="3"/>
      <c r="G1641" s="3"/>
      <c r="H1641" s="3"/>
      <c r="I1641" s="3"/>
      <c r="J1641" s="3"/>
      <c r="K1641" s="3"/>
      <c r="M1641" s="10"/>
      <c r="N1641" s="3"/>
      <c r="O1641" s="3"/>
      <c r="P1641" s="3"/>
    </row>
    <row r="1642" spans="4:16" x14ac:dyDescent="0.25">
      <c r="D1642" s="2"/>
      <c r="F1642" s="3"/>
      <c r="G1642" s="3"/>
      <c r="H1642" s="3"/>
      <c r="I1642" s="3"/>
      <c r="J1642" s="3"/>
      <c r="K1642" s="3"/>
      <c r="M1642" s="10"/>
      <c r="N1642" s="3"/>
      <c r="O1642" s="3"/>
      <c r="P1642" s="3"/>
    </row>
    <row r="1643" spans="4:16" x14ac:dyDescent="0.25">
      <c r="D1643" s="2"/>
      <c r="F1643" s="3"/>
      <c r="G1643" s="3"/>
      <c r="H1643" s="3"/>
      <c r="I1643" s="3"/>
      <c r="J1643" s="3"/>
      <c r="K1643" s="3"/>
      <c r="M1643" s="10"/>
      <c r="N1643" s="3"/>
      <c r="O1643" s="3"/>
      <c r="P1643" s="3"/>
    </row>
    <row r="1644" spans="4:16" x14ac:dyDescent="0.25">
      <c r="D1644" s="2"/>
      <c r="F1644" s="3"/>
      <c r="G1644" s="3"/>
      <c r="H1644" s="3"/>
      <c r="I1644" s="3"/>
      <c r="J1644" s="3"/>
      <c r="K1644" s="3"/>
      <c r="M1644" s="10"/>
      <c r="N1644" s="3"/>
      <c r="O1644" s="3"/>
      <c r="P1644" s="3"/>
    </row>
    <row r="1645" spans="4:16" x14ac:dyDescent="0.25">
      <c r="D1645" s="2"/>
      <c r="F1645" s="3"/>
      <c r="G1645" s="3"/>
      <c r="H1645" s="3"/>
      <c r="I1645" s="3"/>
      <c r="J1645" s="3"/>
      <c r="K1645" s="3"/>
      <c r="M1645" s="10"/>
      <c r="N1645" s="3"/>
      <c r="O1645" s="3"/>
      <c r="P1645" s="3"/>
    </row>
    <row r="1646" spans="4:16" x14ac:dyDescent="0.25">
      <c r="D1646" s="2"/>
      <c r="F1646" s="3"/>
      <c r="G1646" s="3"/>
      <c r="H1646" s="3"/>
      <c r="I1646" s="3"/>
      <c r="J1646" s="3"/>
      <c r="K1646" s="3"/>
      <c r="M1646" s="10"/>
      <c r="N1646" s="3"/>
      <c r="O1646" s="3"/>
      <c r="P1646" s="3"/>
    </row>
    <row r="1647" spans="4:16" x14ac:dyDescent="0.25">
      <c r="D1647" s="2"/>
      <c r="F1647" s="3"/>
      <c r="G1647" s="3"/>
      <c r="H1647" s="3"/>
      <c r="I1647" s="3"/>
      <c r="J1647" s="3"/>
      <c r="K1647" s="3"/>
      <c r="M1647" s="10"/>
      <c r="N1647" s="3"/>
      <c r="O1647" s="3"/>
      <c r="P1647" s="3"/>
    </row>
    <row r="1648" spans="4:16" x14ac:dyDescent="0.25">
      <c r="D1648" s="2"/>
      <c r="F1648" s="3"/>
      <c r="G1648" s="3"/>
      <c r="H1648" s="3"/>
      <c r="I1648" s="3"/>
      <c r="J1648" s="3"/>
      <c r="K1648" s="3"/>
      <c r="M1648" s="10"/>
      <c r="N1648" s="3"/>
      <c r="O1648" s="3"/>
      <c r="P1648" s="3"/>
    </row>
    <row r="1649" spans="4:16" x14ac:dyDescent="0.25">
      <c r="D1649" s="2"/>
      <c r="F1649" s="3"/>
      <c r="G1649" s="3"/>
      <c r="H1649" s="3"/>
      <c r="I1649" s="3"/>
      <c r="J1649" s="3"/>
      <c r="K1649" s="3"/>
      <c r="M1649" s="10"/>
      <c r="N1649" s="3"/>
      <c r="O1649" s="3"/>
      <c r="P1649" s="3"/>
    </row>
    <row r="1650" spans="4:16" x14ac:dyDescent="0.25">
      <c r="D1650" s="2"/>
      <c r="F1650" s="3"/>
      <c r="G1650" s="3"/>
      <c r="H1650" s="3"/>
      <c r="I1650" s="3"/>
      <c r="J1650" s="3"/>
      <c r="K1650" s="3"/>
      <c r="M1650" s="10"/>
      <c r="N1650" s="3"/>
      <c r="O1650" s="3"/>
      <c r="P1650" s="3"/>
    </row>
    <row r="1651" spans="4:16" x14ac:dyDescent="0.25">
      <c r="D1651" s="2"/>
      <c r="F1651" s="3"/>
      <c r="G1651" s="3"/>
      <c r="H1651" s="3"/>
      <c r="I1651" s="3"/>
      <c r="J1651" s="3"/>
      <c r="K1651" s="3"/>
      <c r="M1651" s="10"/>
      <c r="N1651" s="3"/>
      <c r="O1651" s="3"/>
      <c r="P1651" s="3"/>
    </row>
    <row r="1652" spans="4:16" x14ac:dyDescent="0.25">
      <c r="D1652" s="2"/>
      <c r="F1652" s="3"/>
      <c r="G1652" s="3"/>
      <c r="H1652" s="3"/>
      <c r="I1652" s="3"/>
      <c r="J1652" s="3"/>
      <c r="K1652" s="3"/>
      <c r="M1652" s="10"/>
      <c r="N1652" s="3"/>
      <c r="O1652" s="3"/>
      <c r="P1652" s="3"/>
    </row>
    <row r="1653" spans="4:16" x14ac:dyDescent="0.25">
      <c r="D1653" s="2"/>
      <c r="F1653" s="3"/>
      <c r="G1653" s="3"/>
      <c r="H1653" s="3"/>
      <c r="I1653" s="3"/>
      <c r="J1653" s="3"/>
      <c r="K1653" s="3"/>
      <c r="M1653" s="10"/>
      <c r="N1653" s="3"/>
      <c r="O1653" s="3"/>
      <c r="P1653" s="3"/>
    </row>
    <row r="1654" spans="4:16" x14ac:dyDescent="0.25">
      <c r="D1654" s="2"/>
      <c r="F1654" s="3"/>
      <c r="G1654" s="3"/>
      <c r="H1654" s="3"/>
      <c r="I1654" s="3"/>
      <c r="J1654" s="3"/>
      <c r="K1654" s="3"/>
      <c r="M1654" s="10"/>
      <c r="N1654" s="3"/>
      <c r="O1654" s="3"/>
      <c r="P1654" s="3"/>
    </row>
    <row r="1655" spans="4:16" x14ac:dyDescent="0.25">
      <c r="D1655" s="2"/>
      <c r="F1655" s="3"/>
      <c r="G1655" s="3"/>
      <c r="H1655" s="3"/>
      <c r="I1655" s="3"/>
      <c r="J1655" s="3"/>
      <c r="K1655" s="3"/>
      <c r="M1655" s="10"/>
      <c r="N1655" s="3"/>
      <c r="O1655" s="3"/>
      <c r="P1655" s="3"/>
    </row>
    <row r="1656" spans="4:16" x14ac:dyDescent="0.25">
      <c r="D1656" s="2"/>
      <c r="F1656" s="3"/>
      <c r="G1656" s="3"/>
      <c r="H1656" s="3"/>
      <c r="I1656" s="3"/>
      <c r="J1656" s="3"/>
      <c r="K1656" s="3"/>
      <c r="M1656" s="10"/>
      <c r="N1656" s="3"/>
      <c r="O1656" s="3"/>
      <c r="P1656" s="3"/>
    </row>
    <row r="1657" spans="4:16" x14ac:dyDescent="0.25">
      <c r="D1657" s="2"/>
      <c r="F1657" s="3"/>
      <c r="G1657" s="3"/>
      <c r="H1657" s="3"/>
      <c r="I1657" s="3"/>
      <c r="J1657" s="3"/>
      <c r="K1657" s="3"/>
      <c r="M1657" s="10"/>
      <c r="N1657" s="3"/>
      <c r="O1657" s="3"/>
      <c r="P1657" s="3"/>
    </row>
    <row r="1658" spans="4:16" x14ac:dyDescent="0.25">
      <c r="D1658" s="2"/>
      <c r="F1658" s="3"/>
      <c r="G1658" s="3"/>
      <c r="H1658" s="3"/>
      <c r="I1658" s="3"/>
      <c r="J1658" s="3"/>
      <c r="K1658" s="3"/>
      <c r="M1658" s="10"/>
      <c r="N1658" s="3"/>
      <c r="O1658" s="3"/>
      <c r="P1658" s="3"/>
    </row>
    <row r="1659" spans="4:16" x14ac:dyDescent="0.25">
      <c r="D1659" s="2"/>
      <c r="F1659" s="3"/>
      <c r="G1659" s="3"/>
      <c r="H1659" s="3"/>
      <c r="I1659" s="3"/>
      <c r="J1659" s="3"/>
      <c r="K1659" s="3"/>
      <c r="M1659" s="10"/>
      <c r="N1659" s="3"/>
      <c r="O1659" s="3"/>
      <c r="P1659" s="3"/>
    </row>
    <row r="1660" spans="4:16" x14ac:dyDescent="0.25">
      <c r="D1660" s="2"/>
      <c r="F1660" s="3"/>
      <c r="G1660" s="3"/>
      <c r="H1660" s="3"/>
      <c r="I1660" s="3"/>
      <c r="J1660" s="3"/>
      <c r="K1660" s="3"/>
      <c r="M1660" s="10"/>
      <c r="N1660" s="3"/>
      <c r="O1660" s="3"/>
      <c r="P1660" s="3"/>
    </row>
    <row r="1661" spans="4:16" x14ac:dyDescent="0.25">
      <c r="D1661" s="2"/>
      <c r="F1661" s="3"/>
      <c r="G1661" s="3"/>
      <c r="H1661" s="3"/>
      <c r="I1661" s="3"/>
      <c r="J1661" s="3"/>
      <c r="K1661" s="3"/>
      <c r="M1661" s="10"/>
      <c r="N1661" s="3"/>
      <c r="O1661" s="3"/>
      <c r="P1661" s="3"/>
    </row>
    <row r="1662" spans="4:16" x14ac:dyDescent="0.25">
      <c r="D1662" s="2"/>
      <c r="F1662" s="3"/>
      <c r="G1662" s="3"/>
      <c r="H1662" s="3"/>
      <c r="I1662" s="3"/>
      <c r="J1662" s="3"/>
      <c r="K1662" s="3"/>
      <c r="M1662" s="10"/>
      <c r="N1662" s="3"/>
      <c r="O1662" s="3"/>
      <c r="P1662" s="3"/>
    </row>
    <row r="1663" spans="4:16" x14ac:dyDescent="0.25">
      <c r="D1663" s="2"/>
      <c r="F1663" s="3"/>
      <c r="G1663" s="3"/>
      <c r="H1663" s="3"/>
      <c r="I1663" s="3"/>
      <c r="J1663" s="3"/>
      <c r="K1663" s="3"/>
      <c r="M1663" s="10"/>
      <c r="N1663" s="3"/>
      <c r="O1663" s="3"/>
      <c r="P1663" s="3"/>
    </row>
    <row r="1664" spans="4:16" x14ac:dyDescent="0.25">
      <c r="D1664" s="2"/>
      <c r="F1664" s="3"/>
      <c r="G1664" s="3"/>
      <c r="H1664" s="3"/>
      <c r="I1664" s="3"/>
      <c r="J1664" s="3"/>
      <c r="K1664" s="3"/>
      <c r="M1664" s="10"/>
      <c r="N1664" s="3"/>
      <c r="O1664" s="3"/>
      <c r="P1664" s="3"/>
    </row>
    <row r="1665" spans="4:16" x14ac:dyDescent="0.25">
      <c r="D1665" s="2"/>
      <c r="F1665" s="3"/>
      <c r="G1665" s="3"/>
      <c r="H1665" s="3"/>
      <c r="I1665" s="3"/>
      <c r="J1665" s="3"/>
      <c r="K1665" s="3"/>
      <c r="M1665" s="10"/>
      <c r="N1665" s="3"/>
      <c r="O1665" s="3"/>
      <c r="P1665" s="3"/>
    </row>
    <row r="1666" spans="4:16" x14ac:dyDescent="0.25">
      <c r="D1666" s="2"/>
      <c r="F1666" s="3"/>
      <c r="G1666" s="3"/>
      <c r="H1666" s="3"/>
      <c r="I1666" s="3"/>
      <c r="J1666" s="3"/>
      <c r="K1666" s="3"/>
      <c r="M1666" s="10"/>
      <c r="N1666" s="3"/>
      <c r="O1666" s="3"/>
      <c r="P1666" s="3"/>
    </row>
    <row r="1667" spans="4:16" x14ac:dyDescent="0.25">
      <c r="D1667" s="2"/>
      <c r="F1667" s="3"/>
      <c r="G1667" s="3"/>
      <c r="H1667" s="3"/>
      <c r="I1667" s="3"/>
      <c r="J1667" s="3"/>
      <c r="K1667" s="3"/>
      <c r="M1667" s="10"/>
      <c r="N1667" s="3"/>
      <c r="O1667" s="3"/>
      <c r="P1667" s="3"/>
    </row>
    <row r="1668" spans="4:16" x14ac:dyDescent="0.25">
      <c r="D1668" s="2"/>
      <c r="F1668" s="3"/>
      <c r="G1668" s="3"/>
      <c r="H1668" s="3"/>
      <c r="I1668" s="3"/>
      <c r="J1668" s="3"/>
      <c r="K1668" s="3"/>
      <c r="M1668" s="10"/>
      <c r="N1668" s="3"/>
      <c r="O1668" s="3"/>
      <c r="P1668" s="3"/>
    </row>
    <row r="1669" spans="4:16" x14ac:dyDescent="0.25">
      <c r="D1669" s="2"/>
      <c r="F1669" s="3"/>
      <c r="G1669" s="3"/>
      <c r="H1669" s="3"/>
      <c r="I1669" s="3"/>
      <c r="J1669" s="3"/>
      <c r="K1669" s="3"/>
      <c r="M1669" s="10"/>
      <c r="N1669" s="3"/>
      <c r="O1669" s="3"/>
      <c r="P1669" s="3"/>
    </row>
    <row r="1670" spans="4:16" x14ac:dyDescent="0.25">
      <c r="D1670" s="2"/>
      <c r="F1670" s="3"/>
      <c r="G1670" s="3"/>
      <c r="H1670" s="3"/>
      <c r="I1670" s="3"/>
      <c r="J1670" s="3"/>
      <c r="K1670" s="3"/>
      <c r="M1670" s="10"/>
      <c r="N1670" s="3"/>
      <c r="O1670" s="3"/>
      <c r="P1670" s="3"/>
    </row>
    <row r="1671" spans="4:16" x14ac:dyDescent="0.25">
      <c r="D1671" s="2"/>
      <c r="F1671" s="3"/>
      <c r="G1671" s="3"/>
      <c r="H1671" s="3"/>
      <c r="I1671" s="3"/>
      <c r="J1671" s="3"/>
      <c r="K1671" s="3"/>
      <c r="M1671" s="10"/>
      <c r="N1671" s="3"/>
      <c r="O1671" s="3"/>
      <c r="P1671" s="3"/>
    </row>
    <row r="1672" spans="4:16" x14ac:dyDescent="0.25">
      <c r="D1672" s="2"/>
      <c r="F1672" s="3"/>
      <c r="G1672" s="3"/>
      <c r="H1672" s="3"/>
      <c r="I1672" s="3"/>
      <c r="J1672" s="3"/>
      <c r="K1672" s="3"/>
      <c r="M1672" s="10"/>
      <c r="N1672" s="3"/>
      <c r="O1672" s="3"/>
      <c r="P1672" s="3"/>
    </row>
    <row r="1673" spans="4:16" x14ac:dyDescent="0.25">
      <c r="D1673" s="2"/>
      <c r="F1673" s="3"/>
      <c r="G1673" s="3"/>
      <c r="H1673" s="3"/>
      <c r="I1673" s="3"/>
      <c r="J1673" s="3"/>
      <c r="K1673" s="3"/>
      <c r="M1673" s="10"/>
      <c r="N1673" s="3"/>
      <c r="O1673" s="3"/>
      <c r="P1673" s="3"/>
    </row>
    <row r="1674" spans="4:16" x14ac:dyDescent="0.25">
      <c r="D1674" s="2"/>
      <c r="F1674" s="3"/>
      <c r="G1674" s="3"/>
      <c r="H1674" s="3"/>
      <c r="I1674" s="3"/>
      <c r="J1674" s="3"/>
      <c r="K1674" s="3"/>
      <c r="M1674" s="10"/>
      <c r="N1674" s="3"/>
      <c r="O1674" s="3"/>
      <c r="P1674" s="3"/>
    </row>
    <row r="1675" spans="4:16" x14ac:dyDescent="0.25">
      <c r="D1675" s="2"/>
      <c r="F1675" s="3"/>
      <c r="G1675" s="3"/>
      <c r="H1675" s="3"/>
      <c r="I1675" s="3"/>
      <c r="J1675" s="3"/>
      <c r="K1675" s="3"/>
      <c r="M1675" s="10"/>
      <c r="N1675" s="3"/>
      <c r="O1675" s="3"/>
      <c r="P1675" s="3"/>
    </row>
    <row r="1676" spans="4:16" x14ac:dyDescent="0.25">
      <c r="D1676" s="2"/>
      <c r="F1676" s="3"/>
      <c r="G1676" s="3"/>
      <c r="H1676" s="3"/>
      <c r="I1676" s="3"/>
      <c r="J1676" s="3"/>
      <c r="K1676" s="3"/>
      <c r="M1676" s="10"/>
      <c r="N1676" s="3"/>
      <c r="O1676" s="3"/>
      <c r="P1676" s="3"/>
    </row>
    <row r="1677" spans="4:16" x14ac:dyDescent="0.25">
      <c r="D1677" s="2"/>
      <c r="F1677" s="3"/>
      <c r="G1677" s="3"/>
      <c r="H1677" s="3"/>
      <c r="I1677" s="3"/>
      <c r="J1677" s="3"/>
      <c r="K1677" s="3"/>
      <c r="M1677" s="10"/>
      <c r="N1677" s="3"/>
      <c r="O1677" s="3"/>
      <c r="P1677" s="3"/>
    </row>
    <row r="1678" spans="4:16" x14ac:dyDescent="0.25">
      <c r="D1678" s="2"/>
      <c r="F1678" s="3"/>
      <c r="G1678" s="3"/>
      <c r="H1678" s="3"/>
      <c r="I1678" s="3"/>
      <c r="J1678" s="3"/>
      <c r="K1678" s="3"/>
      <c r="M1678" s="10"/>
      <c r="N1678" s="3"/>
      <c r="O1678" s="3"/>
      <c r="P1678" s="3"/>
    </row>
    <row r="1679" spans="4:16" x14ac:dyDescent="0.25">
      <c r="D1679" s="2"/>
      <c r="F1679" s="3"/>
      <c r="G1679" s="3"/>
      <c r="H1679" s="3"/>
      <c r="I1679" s="3"/>
      <c r="J1679" s="3"/>
      <c r="K1679" s="3"/>
      <c r="M1679" s="10"/>
      <c r="N1679" s="3"/>
      <c r="O1679" s="3"/>
      <c r="P1679" s="3"/>
    </row>
    <row r="1680" spans="4:16" x14ac:dyDescent="0.25">
      <c r="D1680" s="2"/>
      <c r="F1680" s="3"/>
      <c r="G1680" s="3"/>
      <c r="H1680" s="3"/>
      <c r="I1680" s="3"/>
      <c r="J1680" s="3"/>
      <c r="K1680" s="3"/>
      <c r="M1680" s="10"/>
      <c r="N1680" s="3"/>
      <c r="O1680" s="3"/>
      <c r="P1680" s="3"/>
    </row>
    <row r="1681" spans="4:16" x14ac:dyDescent="0.25">
      <c r="D1681" s="2"/>
      <c r="F1681" s="3"/>
      <c r="G1681" s="3"/>
      <c r="H1681" s="3"/>
      <c r="I1681" s="3"/>
      <c r="J1681" s="3"/>
      <c r="K1681" s="3"/>
      <c r="M1681" s="10"/>
      <c r="N1681" s="3"/>
      <c r="O1681" s="3"/>
      <c r="P1681" s="3"/>
    </row>
    <row r="1682" spans="4:16" x14ac:dyDescent="0.25">
      <c r="D1682" s="2"/>
      <c r="F1682" s="3"/>
      <c r="G1682" s="3"/>
      <c r="H1682" s="3"/>
      <c r="I1682" s="3"/>
      <c r="J1682" s="3"/>
      <c r="K1682" s="3"/>
      <c r="M1682" s="10"/>
      <c r="N1682" s="3"/>
      <c r="O1682" s="3"/>
      <c r="P1682" s="3"/>
    </row>
    <row r="1683" spans="4:16" x14ac:dyDescent="0.25">
      <c r="D1683" s="2"/>
      <c r="F1683" s="3"/>
      <c r="G1683" s="3"/>
      <c r="H1683" s="3"/>
      <c r="I1683" s="3"/>
      <c r="J1683" s="3"/>
      <c r="K1683" s="3"/>
      <c r="M1683" s="10"/>
      <c r="N1683" s="3"/>
      <c r="O1683" s="3"/>
      <c r="P1683" s="3"/>
    </row>
    <row r="1684" spans="4:16" x14ac:dyDescent="0.25">
      <c r="D1684" s="2"/>
      <c r="F1684" s="3"/>
      <c r="G1684" s="3"/>
      <c r="H1684" s="3"/>
      <c r="I1684" s="3"/>
      <c r="J1684" s="3"/>
      <c r="K1684" s="3"/>
      <c r="M1684" s="10"/>
      <c r="N1684" s="3"/>
      <c r="O1684" s="3"/>
      <c r="P1684" s="3"/>
    </row>
    <row r="1685" spans="4:16" x14ac:dyDescent="0.25">
      <c r="D1685" s="2"/>
      <c r="F1685" s="3"/>
      <c r="G1685" s="3"/>
      <c r="H1685" s="3"/>
      <c r="I1685" s="3"/>
      <c r="J1685" s="3"/>
      <c r="K1685" s="3"/>
      <c r="M1685" s="10"/>
      <c r="N1685" s="3"/>
      <c r="O1685" s="3"/>
      <c r="P1685" s="3"/>
    </row>
    <row r="1686" spans="4:16" x14ac:dyDescent="0.25">
      <c r="D1686" s="2"/>
      <c r="F1686" s="3"/>
      <c r="G1686" s="3"/>
      <c r="H1686" s="3"/>
      <c r="I1686" s="3"/>
      <c r="J1686" s="3"/>
      <c r="K1686" s="3"/>
      <c r="M1686" s="10"/>
      <c r="N1686" s="3"/>
      <c r="O1686" s="3"/>
      <c r="P1686" s="3"/>
    </row>
    <row r="1687" spans="4:16" x14ac:dyDescent="0.25">
      <c r="D1687" s="2"/>
      <c r="F1687" s="3"/>
      <c r="G1687" s="3"/>
      <c r="H1687" s="3"/>
      <c r="I1687" s="3"/>
      <c r="J1687" s="3"/>
      <c r="K1687" s="3"/>
      <c r="M1687" s="10"/>
      <c r="N1687" s="3"/>
      <c r="O1687" s="3"/>
      <c r="P1687" s="3"/>
    </row>
    <row r="1688" spans="4:16" x14ac:dyDescent="0.25">
      <c r="D1688" s="2"/>
      <c r="F1688" s="3"/>
      <c r="G1688" s="3"/>
      <c r="H1688" s="3"/>
      <c r="I1688" s="3"/>
      <c r="J1688" s="3"/>
      <c r="K1688" s="3"/>
      <c r="M1688" s="10"/>
      <c r="N1688" s="3"/>
      <c r="O1688" s="3"/>
      <c r="P1688" s="3"/>
    </row>
    <row r="1689" spans="4:16" x14ac:dyDescent="0.25">
      <c r="D1689" s="2"/>
      <c r="F1689" s="3"/>
      <c r="G1689" s="3"/>
      <c r="H1689" s="3"/>
      <c r="I1689" s="3"/>
      <c r="J1689" s="3"/>
      <c r="K1689" s="3"/>
      <c r="M1689" s="10"/>
      <c r="N1689" s="3"/>
      <c r="O1689" s="3"/>
      <c r="P1689" s="3"/>
    </row>
    <row r="1690" spans="4:16" x14ac:dyDescent="0.25">
      <c r="D1690" s="2"/>
      <c r="F1690" s="3"/>
      <c r="G1690" s="3"/>
      <c r="H1690" s="3"/>
      <c r="I1690" s="3"/>
      <c r="J1690" s="3"/>
      <c r="K1690" s="3"/>
      <c r="M1690" s="10"/>
      <c r="N1690" s="3"/>
      <c r="O1690" s="3"/>
      <c r="P1690" s="3"/>
    </row>
    <row r="1691" spans="4:16" x14ac:dyDescent="0.25">
      <c r="D1691" s="2"/>
      <c r="F1691" s="3"/>
      <c r="G1691" s="3"/>
      <c r="H1691" s="3"/>
      <c r="I1691" s="3"/>
      <c r="J1691" s="3"/>
      <c r="K1691" s="3"/>
      <c r="M1691" s="10"/>
      <c r="N1691" s="3"/>
      <c r="O1691" s="3"/>
      <c r="P1691" s="3"/>
    </row>
    <row r="1692" spans="4:16" x14ac:dyDescent="0.25">
      <c r="D1692" s="2"/>
      <c r="F1692" s="3"/>
      <c r="G1692" s="3"/>
      <c r="H1692" s="3"/>
      <c r="I1692" s="3"/>
      <c r="J1692" s="3"/>
      <c r="K1692" s="3"/>
      <c r="M1692" s="10"/>
      <c r="N1692" s="3"/>
      <c r="O1692" s="3"/>
      <c r="P1692" s="3"/>
    </row>
    <row r="1693" spans="4:16" x14ac:dyDescent="0.25">
      <c r="D1693" s="2"/>
      <c r="F1693" s="3"/>
      <c r="G1693" s="3"/>
      <c r="H1693" s="3"/>
      <c r="I1693" s="3"/>
      <c r="J1693" s="3"/>
      <c r="K1693" s="3"/>
      <c r="M1693" s="10"/>
      <c r="N1693" s="3"/>
      <c r="O1693" s="3"/>
      <c r="P1693" s="3"/>
    </row>
    <row r="1694" spans="4:16" x14ac:dyDescent="0.25">
      <c r="D1694" s="2"/>
      <c r="F1694" s="3"/>
      <c r="G1694" s="3"/>
      <c r="H1694" s="3"/>
      <c r="I1694" s="3"/>
      <c r="J1694" s="3"/>
      <c r="K1694" s="3"/>
      <c r="M1694" s="10"/>
      <c r="N1694" s="3"/>
      <c r="O1694" s="3"/>
      <c r="P1694" s="3"/>
    </row>
    <row r="1695" spans="4:16" x14ac:dyDescent="0.25">
      <c r="D1695" s="2"/>
      <c r="F1695" s="3"/>
      <c r="G1695" s="3"/>
      <c r="H1695" s="3"/>
      <c r="I1695" s="3"/>
      <c r="J1695" s="3"/>
      <c r="K1695" s="3"/>
      <c r="M1695" s="10"/>
      <c r="N1695" s="3"/>
      <c r="O1695" s="3"/>
      <c r="P1695" s="3"/>
    </row>
    <row r="1696" spans="4:16" x14ac:dyDescent="0.25">
      <c r="D1696" s="2"/>
      <c r="F1696" s="3"/>
      <c r="G1696" s="3"/>
      <c r="H1696" s="3"/>
      <c r="I1696" s="3"/>
      <c r="J1696" s="3"/>
      <c r="K1696" s="3"/>
      <c r="M1696" s="10"/>
      <c r="N1696" s="3"/>
      <c r="O1696" s="3"/>
      <c r="P1696" s="3"/>
    </row>
    <row r="1697" spans="4:16" x14ac:dyDescent="0.25">
      <c r="D1697" s="2"/>
      <c r="F1697" s="3"/>
      <c r="G1697" s="3"/>
      <c r="H1697" s="3"/>
      <c r="I1697" s="3"/>
      <c r="J1697" s="3"/>
      <c r="K1697" s="3"/>
      <c r="M1697" s="10"/>
      <c r="N1697" s="3"/>
      <c r="O1697" s="3"/>
      <c r="P1697" s="3"/>
    </row>
    <row r="1698" spans="4:16" x14ac:dyDescent="0.25">
      <c r="D1698" s="2"/>
      <c r="F1698" s="3"/>
      <c r="G1698" s="3"/>
      <c r="H1698" s="3"/>
      <c r="I1698" s="3"/>
      <c r="J1698" s="3"/>
      <c r="K1698" s="3"/>
      <c r="M1698" s="10"/>
      <c r="N1698" s="3"/>
      <c r="O1698" s="3"/>
      <c r="P1698" s="3"/>
    </row>
    <row r="1699" spans="4:16" x14ac:dyDescent="0.25">
      <c r="D1699" s="2"/>
      <c r="F1699" s="3"/>
      <c r="G1699" s="3"/>
      <c r="H1699" s="3"/>
      <c r="I1699" s="3"/>
      <c r="J1699" s="3"/>
      <c r="K1699" s="3"/>
      <c r="M1699" s="10"/>
      <c r="N1699" s="3"/>
      <c r="O1699" s="3"/>
      <c r="P1699" s="3"/>
    </row>
    <row r="1700" spans="4:16" x14ac:dyDescent="0.25">
      <c r="D1700" s="2"/>
      <c r="F1700" s="3"/>
      <c r="G1700" s="3"/>
      <c r="H1700" s="3"/>
      <c r="I1700" s="3"/>
      <c r="J1700" s="3"/>
      <c r="K1700" s="3"/>
      <c r="M1700" s="10"/>
      <c r="N1700" s="3"/>
      <c r="O1700" s="3"/>
      <c r="P1700" s="3"/>
    </row>
    <row r="1701" spans="4:16" x14ac:dyDescent="0.25">
      <c r="D1701" s="2"/>
      <c r="F1701" s="3"/>
      <c r="G1701" s="3"/>
      <c r="H1701" s="3"/>
      <c r="I1701" s="3"/>
      <c r="J1701" s="3"/>
      <c r="K1701" s="3"/>
      <c r="M1701" s="10"/>
      <c r="N1701" s="3"/>
      <c r="O1701" s="3"/>
      <c r="P1701" s="3"/>
    </row>
    <row r="1702" spans="4:16" x14ac:dyDescent="0.25">
      <c r="D1702" s="2"/>
      <c r="F1702" s="3"/>
      <c r="G1702" s="3"/>
      <c r="H1702" s="3"/>
      <c r="I1702" s="3"/>
      <c r="J1702" s="3"/>
      <c r="K1702" s="3"/>
      <c r="M1702" s="10"/>
      <c r="N1702" s="3"/>
      <c r="O1702" s="3"/>
      <c r="P1702" s="3"/>
    </row>
    <row r="1703" spans="4:16" x14ac:dyDescent="0.25">
      <c r="D1703" s="2"/>
      <c r="F1703" s="3"/>
      <c r="G1703" s="3"/>
      <c r="H1703" s="3"/>
      <c r="I1703" s="3"/>
      <c r="J1703" s="3"/>
      <c r="K1703" s="3"/>
      <c r="M1703" s="10"/>
      <c r="N1703" s="3"/>
      <c r="O1703" s="3"/>
      <c r="P1703" s="3"/>
    </row>
    <row r="1704" spans="4:16" x14ac:dyDescent="0.25">
      <c r="D1704" s="2"/>
      <c r="F1704" s="3"/>
      <c r="G1704" s="3"/>
      <c r="H1704" s="3"/>
      <c r="I1704" s="3"/>
      <c r="J1704" s="3"/>
      <c r="K1704" s="3"/>
      <c r="M1704" s="10"/>
      <c r="N1704" s="3"/>
      <c r="O1704" s="3"/>
      <c r="P1704" s="3"/>
    </row>
    <row r="1705" spans="4:16" x14ac:dyDescent="0.25">
      <c r="D1705" s="2"/>
      <c r="F1705" s="3"/>
      <c r="G1705" s="3"/>
      <c r="H1705" s="3"/>
      <c r="I1705" s="3"/>
      <c r="J1705" s="3"/>
      <c r="K1705" s="3"/>
      <c r="M1705" s="10"/>
      <c r="N1705" s="3"/>
      <c r="O1705" s="3"/>
      <c r="P1705" s="3"/>
    </row>
    <row r="1706" spans="4:16" x14ac:dyDescent="0.25">
      <c r="D1706" s="2"/>
      <c r="F1706" s="3"/>
      <c r="G1706" s="3"/>
      <c r="H1706" s="3"/>
      <c r="I1706" s="3"/>
      <c r="J1706" s="3"/>
      <c r="K1706" s="3"/>
      <c r="M1706" s="10"/>
      <c r="N1706" s="3"/>
      <c r="O1706" s="3"/>
      <c r="P1706" s="3"/>
    </row>
    <row r="1707" spans="4:16" x14ac:dyDescent="0.25">
      <c r="D1707" s="2"/>
      <c r="F1707" s="3"/>
      <c r="G1707" s="3"/>
      <c r="H1707" s="3"/>
      <c r="I1707" s="3"/>
      <c r="J1707" s="3"/>
      <c r="K1707" s="3"/>
      <c r="M1707" s="10"/>
      <c r="N1707" s="3"/>
      <c r="O1707" s="3"/>
      <c r="P1707" s="3"/>
    </row>
    <row r="1708" spans="4:16" x14ac:dyDescent="0.25">
      <c r="D1708" s="2"/>
      <c r="F1708" s="3"/>
      <c r="G1708" s="3"/>
      <c r="H1708" s="3"/>
      <c r="I1708" s="3"/>
      <c r="J1708" s="3"/>
      <c r="K1708" s="3"/>
      <c r="M1708" s="10"/>
      <c r="N1708" s="3"/>
      <c r="O1708" s="3"/>
      <c r="P1708" s="3"/>
    </row>
    <row r="1709" spans="4:16" x14ac:dyDescent="0.25">
      <c r="D1709" s="2"/>
      <c r="F1709" s="3"/>
      <c r="G1709" s="3"/>
      <c r="H1709" s="3"/>
      <c r="I1709" s="3"/>
      <c r="J1709" s="3"/>
      <c r="K1709" s="3"/>
      <c r="M1709" s="10"/>
      <c r="N1709" s="3"/>
      <c r="O1709" s="3"/>
      <c r="P1709" s="3"/>
    </row>
    <row r="1710" spans="4:16" x14ac:dyDescent="0.25">
      <c r="D1710" s="2"/>
      <c r="F1710" s="3"/>
      <c r="G1710" s="3"/>
      <c r="H1710" s="3"/>
      <c r="I1710" s="3"/>
      <c r="J1710" s="3"/>
      <c r="K1710" s="3"/>
      <c r="M1710" s="10"/>
      <c r="N1710" s="3"/>
      <c r="O1710" s="3"/>
      <c r="P1710" s="3"/>
    </row>
    <row r="1711" spans="4:16" x14ac:dyDescent="0.25">
      <c r="D1711" s="2"/>
      <c r="F1711" s="3"/>
      <c r="G1711" s="3"/>
      <c r="H1711" s="3"/>
      <c r="I1711" s="3"/>
      <c r="J1711" s="3"/>
      <c r="K1711" s="3"/>
      <c r="M1711" s="10"/>
      <c r="N1711" s="3"/>
      <c r="O1711" s="3"/>
      <c r="P1711" s="3"/>
    </row>
    <row r="1712" spans="4:16" x14ac:dyDescent="0.25">
      <c r="D1712" s="2"/>
      <c r="F1712" s="3"/>
      <c r="G1712" s="3"/>
      <c r="H1712" s="3"/>
      <c r="I1712" s="3"/>
      <c r="J1712" s="3"/>
      <c r="K1712" s="3"/>
      <c r="M1712" s="10"/>
      <c r="N1712" s="3"/>
      <c r="O1712" s="3"/>
      <c r="P1712" s="3"/>
    </row>
    <row r="1713" spans="4:16" x14ac:dyDescent="0.25">
      <c r="D1713" s="2"/>
      <c r="F1713" s="3"/>
      <c r="G1713" s="3"/>
      <c r="H1713" s="3"/>
      <c r="I1713" s="3"/>
      <c r="J1713" s="3"/>
      <c r="K1713" s="3"/>
      <c r="M1713" s="10"/>
      <c r="N1713" s="3"/>
      <c r="O1713" s="3"/>
      <c r="P1713" s="3"/>
    </row>
    <row r="1714" spans="4:16" x14ac:dyDescent="0.25">
      <c r="D1714" s="2"/>
      <c r="F1714" s="3"/>
      <c r="G1714" s="3"/>
      <c r="H1714" s="3"/>
      <c r="I1714" s="3"/>
      <c r="J1714" s="3"/>
      <c r="K1714" s="3"/>
      <c r="M1714" s="10"/>
      <c r="N1714" s="3"/>
      <c r="O1714" s="3"/>
      <c r="P1714" s="3"/>
    </row>
    <row r="1715" spans="4:16" x14ac:dyDescent="0.25">
      <c r="D1715" s="2"/>
      <c r="F1715" s="3"/>
      <c r="G1715" s="3"/>
      <c r="H1715" s="3"/>
      <c r="I1715" s="3"/>
      <c r="J1715" s="3"/>
      <c r="K1715" s="3"/>
      <c r="M1715" s="10"/>
      <c r="N1715" s="3"/>
      <c r="O1715" s="3"/>
      <c r="P1715" s="3"/>
    </row>
    <row r="1716" spans="4:16" x14ac:dyDescent="0.25">
      <c r="D1716" s="2"/>
      <c r="F1716" s="3"/>
      <c r="G1716" s="3"/>
      <c r="H1716" s="3"/>
      <c r="I1716" s="3"/>
      <c r="J1716" s="3"/>
      <c r="K1716" s="3"/>
      <c r="M1716" s="10"/>
      <c r="N1716" s="3"/>
      <c r="O1716" s="3"/>
      <c r="P1716" s="3"/>
    </row>
    <row r="1717" spans="4:16" x14ac:dyDescent="0.25">
      <c r="D1717" s="2"/>
      <c r="F1717" s="3"/>
      <c r="G1717" s="3"/>
      <c r="H1717" s="3"/>
      <c r="I1717" s="3"/>
      <c r="J1717" s="3"/>
      <c r="K1717" s="3"/>
      <c r="M1717" s="10"/>
      <c r="N1717" s="3"/>
      <c r="O1717" s="3"/>
      <c r="P1717" s="3"/>
    </row>
    <row r="1718" spans="4:16" x14ac:dyDescent="0.25">
      <c r="D1718" s="2"/>
      <c r="F1718" s="3"/>
      <c r="G1718" s="3"/>
      <c r="H1718" s="3"/>
      <c r="I1718" s="3"/>
      <c r="J1718" s="3"/>
      <c r="K1718" s="3"/>
      <c r="M1718" s="10"/>
      <c r="N1718" s="3"/>
      <c r="O1718" s="3"/>
      <c r="P1718" s="3"/>
    </row>
    <row r="1719" spans="4:16" x14ac:dyDescent="0.25">
      <c r="D1719" s="2"/>
      <c r="F1719" s="3"/>
      <c r="G1719" s="3"/>
      <c r="H1719" s="3"/>
      <c r="I1719" s="3"/>
      <c r="J1719" s="3"/>
      <c r="K1719" s="3"/>
      <c r="M1719" s="10"/>
      <c r="N1719" s="3"/>
      <c r="O1719" s="3"/>
      <c r="P1719" s="3"/>
    </row>
    <row r="1720" spans="4:16" x14ac:dyDescent="0.25">
      <c r="D1720" s="2"/>
      <c r="F1720" s="3"/>
      <c r="G1720" s="3"/>
      <c r="H1720" s="3"/>
      <c r="I1720" s="3"/>
      <c r="J1720" s="3"/>
      <c r="K1720" s="3"/>
      <c r="M1720" s="10"/>
      <c r="N1720" s="3"/>
      <c r="O1720" s="3"/>
      <c r="P1720" s="3"/>
    </row>
    <row r="1721" spans="4:16" x14ac:dyDescent="0.25">
      <c r="D1721" s="2"/>
      <c r="F1721" s="3"/>
      <c r="G1721" s="3"/>
      <c r="H1721" s="3"/>
      <c r="I1721" s="3"/>
      <c r="J1721" s="3"/>
      <c r="K1721" s="3"/>
      <c r="M1721" s="10"/>
      <c r="N1721" s="3"/>
      <c r="O1721" s="3"/>
      <c r="P1721" s="3"/>
    </row>
    <row r="1722" spans="4:16" x14ac:dyDescent="0.25">
      <c r="D1722" s="2"/>
      <c r="F1722" s="3"/>
      <c r="G1722" s="3"/>
      <c r="H1722" s="3"/>
      <c r="I1722" s="3"/>
      <c r="J1722" s="3"/>
      <c r="K1722" s="3"/>
      <c r="M1722" s="10"/>
      <c r="N1722" s="3"/>
      <c r="O1722" s="3"/>
      <c r="P1722" s="3"/>
    </row>
    <row r="1723" spans="4:16" x14ac:dyDescent="0.25">
      <c r="D1723" s="2"/>
      <c r="F1723" s="3"/>
      <c r="G1723" s="3"/>
      <c r="H1723" s="3"/>
      <c r="I1723" s="3"/>
      <c r="J1723" s="3"/>
      <c r="K1723" s="3"/>
      <c r="M1723" s="10"/>
      <c r="N1723" s="3"/>
      <c r="O1723" s="3"/>
      <c r="P1723" s="3"/>
    </row>
    <row r="1724" spans="4:16" x14ac:dyDescent="0.25">
      <c r="D1724" s="2"/>
      <c r="F1724" s="3"/>
      <c r="G1724" s="3"/>
      <c r="H1724" s="3"/>
      <c r="I1724" s="3"/>
      <c r="J1724" s="3"/>
      <c r="K1724" s="3"/>
      <c r="M1724" s="10"/>
      <c r="N1724" s="3"/>
      <c r="O1724" s="3"/>
      <c r="P1724" s="3"/>
    </row>
    <row r="1725" spans="4:16" x14ac:dyDescent="0.25">
      <c r="D1725" s="2"/>
      <c r="F1725" s="3"/>
      <c r="G1725" s="3"/>
      <c r="H1725" s="3"/>
      <c r="I1725" s="3"/>
      <c r="J1725" s="3"/>
      <c r="K1725" s="3"/>
      <c r="M1725" s="10"/>
      <c r="N1725" s="3"/>
      <c r="O1725" s="3"/>
      <c r="P1725" s="3"/>
    </row>
    <row r="1726" spans="4:16" x14ac:dyDescent="0.25">
      <c r="D1726" s="2"/>
      <c r="F1726" s="3"/>
      <c r="G1726" s="3"/>
      <c r="H1726" s="3"/>
      <c r="I1726" s="3"/>
      <c r="J1726" s="3"/>
      <c r="K1726" s="3"/>
      <c r="M1726" s="10"/>
      <c r="N1726" s="3"/>
      <c r="O1726" s="3"/>
      <c r="P1726" s="3"/>
    </row>
    <row r="1727" spans="4:16" x14ac:dyDescent="0.25">
      <c r="D1727" s="2"/>
      <c r="F1727" s="3"/>
      <c r="G1727" s="3"/>
      <c r="H1727" s="3"/>
      <c r="I1727" s="3"/>
      <c r="J1727" s="3"/>
      <c r="K1727" s="3"/>
      <c r="M1727" s="10"/>
      <c r="N1727" s="3"/>
      <c r="O1727" s="3"/>
      <c r="P1727" s="3"/>
    </row>
    <row r="1728" spans="4:16" x14ac:dyDescent="0.25">
      <c r="D1728" s="2"/>
      <c r="F1728" s="3"/>
      <c r="G1728" s="3"/>
      <c r="H1728" s="3"/>
      <c r="I1728" s="3"/>
      <c r="J1728" s="3"/>
      <c r="K1728" s="3"/>
      <c r="M1728" s="10"/>
      <c r="N1728" s="3"/>
      <c r="O1728" s="3"/>
      <c r="P1728" s="3"/>
    </row>
    <row r="1729" spans="4:16" x14ac:dyDescent="0.25">
      <c r="D1729" s="2"/>
      <c r="F1729" s="3"/>
      <c r="G1729" s="3"/>
      <c r="H1729" s="3"/>
      <c r="I1729" s="3"/>
      <c r="J1729" s="3"/>
      <c r="K1729" s="3"/>
      <c r="M1729" s="10"/>
      <c r="N1729" s="3"/>
      <c r="O1729" s="3"/>
      <c r="P1729" s="3"/>
    </row>
    <row r="1730" spans="4:16" x14ac:dyDescent="0.25">
      <c r="D1730" s="2"/>
      <c r="F1730" s="3"/>
      <c r="G1730" s="3"/>
      <c r="H1730" s="3"/>
      <c r="I1730" s="3"/>
      <c r="J1730" s="3"/>
      <c r="K1730" s="3"/>
      <c r="M1730" s="10"/>
      <c r="N1730" s="3"/>
      <c r="O1730" s="3"/>
      <c r="P1730" s="3"/>
    </row>
    <row r="1731" spans="4:16" x14ac:dyDescent="0.25">
      <c r="D1731" s="2"/>
      <c r="F1731" s="3"/>
      <c r="G1731" s="3"/>
      <c r="H1731" s="3"/>
      <c r="I1731" s="3"/>
      <c r="J1731" s="3"/>
      <c r="K1731" s="3"/>
      <c r="M1731" s="10"/>
      <c r="N1731" s="3"/>
      <c r="O1731" s="3"/>
      <c r="P1731" s="3"/>
    </row>
    <row r="1732" spans="4:16" x14ac:dyDescent="0.25">
      <c r="D1732" s="2"/>
      <c r="F1732" s="3"/>
      <c r="G1732" s="3"/>
      <c r="H1732" s="3"/>
      <c r="I1732" s="3"/>
      <c r="J1732" s="3"/>
      <c r="K1732" s="3"/>
      <c r="M1732" s="10"/>
      <c r="N1732" s="3"/>
      <c r="O1732" s="3"/>
      <c r="P1732" s="3"/>
    </row>
    <row r="1733" spans="4:16" x14ac:dyDescent="0.25">
      <c r="D1733" s="2"/>
      <c r="F1733" s="3"/>
      <c r="G1733" s="3"/>
      <c r="H1733" s="3"/>
      <c r="I1733" s="3"/>
      <c r="J1733" s="3"/>
      <c r="K1733" s="3"/>
      <c r="M1733" s="10"/>
      <c r="N1733" s="3"/>
      <c r="O1733" s="3"/>
      <c r="P1733" s="3"/>
    </row>
    <row r="1734" spans="4:16" x14ac:dyDescent="0.25">
      <c r="D1734" s="2"/>
      <c r="F1734" s="3"/>
      <c r="G1734" s="3"/>
      <c r="H1734" s="3"/>
      <c r="I1734" s="3"/>
      <c r="J1734" s="3"/>
      <c r="K1734" s="3"/>
      <c r="M1734" s="10"/>
      <c r="N1734" s="3"/>
      <c r="O1734" s="3"/>
      <c r="P1734" s="3"/>
    </row>
    <row r="1735" spans="4:16" x14ac:dyDescent="0.25">
      <c r="D1735" s="2"/>
      <c r="F1735" s="3"/>
      <c r="G1735" s="3"/>
      <c r="H1735" s="3"/>
      <c r="I1735" s="3"/>
      <c r="J1735" s="3"/>
      <c r="K1735" s="3"/>
      <c r="M1735" s="10"/>
      <c r="N1735" s="3"/>
      <c r="O1735" s="3"/>
      <c r="P1735" s="3"/>
    </row>
    <row r="1736" spans="4:16" x14ac:dyDescent="0.25">
      <c r="D1736" s="2"/>
      <c r="F1736" s="3"/>
      <c r="G1736" s="3"/>
      <c r="H1736" s="3"/>
      <c r="I1736" s="3"/>
      <c r="J1736" s="3"/>
      <c r="K1736" s="3"/>
      <c r="M1736" s="10"/>
      <c r="N1736" s="3"/>
      <c r="O1736" s="3"/>
      <c r="P1736" s="3"/>
    </row>
    <row r="1737" spans="4:16" x14ac:dyDescent="0.25">
      <c r="D1737" s="2"/>
      <c r="F1737" s="3"/>
      <c r="G1737" s="3"/>
      <c r="H1737" s="3"/>
      <c r="I1737" s="3"/>
      <c r="J1737" s="3"/>
      <c r="K1737" s="3"/>
      <c r="M1737" s="10"/>
      <c r="N1737" s="3"/>
      <c r="O1737" s="3"/>
      <c r="P1737" s="3"/>
    </row>
    <row r="1738" spans="4:16" x14ac:dyDescent="0.25">
      <c r="D1738" s="2"/>
      <c r="F1738" s="3"/>
      <c r="G1738" s="3"/>
      <c r="H1738" s="3"/>
      <c r="I1738" s="3"/>
      <c r="J1738" s="3"/>
      <c r="K1738" s="3"/>
      <c r="M1738" s="10"/>
      <c r="N1738" s="3"/>
      <c r="O1738" s="3"/>
      <c r="P1738" s="3"/>
    </row>
    <row r="1739" spans="4:16" x14ac:dyDescent="0.25">
      <c r="D1739" s="2"/>
      <c r="F1739" s="3"/>
      <c r="G1739" s="3"/>
      <c r="H1739" s="3"/>
      <c r="I1739" s="3"/>
      <c r="J1739" s="3"/>
      <c r="K1739" s="3"/>
      <c r="M1739" s="10"/>
      <c r="N1739" s="3"/>
      <c r="O1739" s="3"/>
      <c r="P1739" s="3"/>
    </row>
    <row r="1740" spans="4:16" x14ac:dyDescent="0.25">
      <c r="D1740" s="2"/>
      <c r="F1740" s="3"/>
      <c r="G1740" s="3"/>
      <c r="H1740" s="3"/>
      <c r="I1740" s="3"/>
      <c r="J1740" s="3"/>
      <c r="K1740" s="3"/>
      <c r="M1740" s="10"/>
      <c r="N1740" s="3"/>
      <c r="O1740" s="3"/>
      <c r="P1740" s="3"/>
    </row>
    <row r="1741" spans="4:16" x14ac:dyDescent="0.25">
      <c r="D1741" s="2"/>
      <c r="F1741" s="3"/>
      <c r="G1741" s="3"/>
      <c r="H1741" s="3"/>
      <c r="I1741" s="3"/>
      <c r="J1741" s="3"/>
      <c r="K1741" s="3"/>
      <c r="M1741" s="10"/>
      <c r="N1741" s="3"/>
      <c r="O1741" s="3"/>
      <c r="P1741" s="3"/>
    </row>
    <row r="1742" spans="4:16" x14ac:dyDescent="0.25">
      <c r="D1742" s="2"/>
      <c r="F1742" s="3"/>
      <c r="G1742" s="3"/>
      <c r="H1742" s="3"/>
      <c r="I1742" s="3"/>
      <c r="J1742" s="3"/>
      <c r="K1742" s="3"/>
      <c r="M1742" s="10"/>
      <c r="N1742" s="3"/>
      <c r="O1742" s="3"/>
      <c r="P1742" s="3"/>
    </row>
    <row r="1743" spans="4:16" x14ac:dyDescent="0.25">
      <c r="D1743" s="2"/>
      <c r="F1743" s="3"/>
      <c r="G1743" s="3"/>
      <c r="H1743" s="3"/>
      <c r="I1743" s="3"/>
      <c r="J1743" s="3"/>
      <c r="K1743" s="3"/>
      <c r="M1743" s="10"/>
      <c r="N1743" s="3"/>
      <c r="O1743" s="3"/>
      <c r="P1743" s="3"/>
    </row>
    <row r="1744" spans="4:16" x14ac:dyDescent="0.25">
      <c r="D1744" s="2"/>
      <c r="F1744" s="3"/>
      <c r="G1744" s="3"/>
      <c r="H1744" s="3"/>
      <c r="I1744" s="3"/>
      <c r="J1744" s="3"/>
      <c r="K1744" s="3"/>
      <c r="M1744" s="10"/>
      <c r="N1744" s="3"/>
      <c r="O1744" s="3"/>
      <c r="P1744" s="3"/>
    </row>
    <row r="1745" spans="4:16" x14ac:dyDescent="0.25">
      <c r="D1745" s="2"/>
      <c r="F1745" s="3"/>
      <c r="G1745" s="3"/>
      <c r="H1745" s="3"/>
      <c r="I1745" s="3"/>
      <c r="J1745" s="3"/>
      <c r="K1745" s="3"/>
      <c r="M1745" s="10"/>
      <c r="N1745" s="3"/>
      <c r="O1745" s="3"/>
      <c r="P1745" s="3"/>
    </row>
    <row r="1746" spans="4:16" x14ac:dyDescent="0.25">
      <c r="D1746" s="2"/>
      <c r="F1746" s="3"/>
      <c r="G1746" s="3"/>
      <c r="H1746" s="3"/>
      <c r="I1746" s="3"/>
      <c r="J1746" s="3"/>
      <c r="K1746" s="3"/>
      <c r="M1746" s="10"/>
      <c r="N1746" s="3"/>
      <c r="O1746" s="3"/>
      <c r="P1746" s="3"/>
    </row>
    <row r="1747" spans="4:16" x14ac:dyDescent="0.25">
      <c r="D1747" s="2"/>
      <c r="F1747" s="3"/>
      <c r="G1747" s="3"/>
      <c r="H1747" s="3"/>
      <c r="I1747" s="3"/>
      <c r="J1747" s="3"/>
      <c r="K1747" s="3"/>
      <c r="M1747" s="10"/>
      <c r="N1747" s="3"/>
      <c r="O1747" s="3"/>
      <c r="P1747" s="3"/>
    </row>
    <row r="1748" spans="4:16" x14ac:dyDescent="0.25">
      <c r="D1748" s="2"/>
      <c r="F1748" s="3"/>
      <c r="G1748" s="3"/>
      <c r="H1748" s="3"/>
      <c r="I1748" s="3"/>
      <c r="J1748" s="3"/>
      <c r="K1748" s="3"/>
      <c r="M1748" s="10"/>
      <c r="N1748" s="3"/>
      <c r="O1748" s="3"/>
      <c r="P1748" s="3"/>
    </row>
    <row r="1749" spans="4:16" x14ac:dyDescent="0.25">
      <c r="D1749" s="2"/>
      <c r="F1749" s="3"/>
      <c r="G1749" s="3"/>
      <c r="H1749" s="3"/>
      <c r="I1749" s="3"/>
      <c r="J1749" s="3"/>
      <c r="K1749" s="3"/>
      <c r="M1749" s="10"/>
      <c r="N1749" s="3"/>
      <c r="O1749" s="3"/>
      <c r="P1749" s="3"/>
    </row>
    <row r="1750" spans="4:16" x14ac:dyDescent="0.25">
      <c r="D1750" s="2"/>
      <c r="F1750" s="3"/>
      <c r="G1750" s="3"/>
      <c r="H1750" s="3"/>
      <c r="I1750" s="3"/>
      <c r="J1750" s="3"/>
      <c r="K1750" s="3"/>
      <c r="M1750" s="10"/>
      <c r="N1750" s="3"/>
      <c r="O1750" s="3"/>
      <c r="P1750" s="3"/>
    </row>
    <row r="1751" spans="4:16" x14ac:dyDescent="0.25">
      <c r="D1751" s="2"/>
      <c r="F1751" s="3"/>
      <c r="G1751" s="3"/>
      <c r="H1751" s="3"/>
      <c r="I1751" s="3"/>
      <c r="J1751" s="3"/>
      <c r="K1751" s="3"/>
      <c r="M1751" s="10"/>
      <c r="N1751" s="3"/>
      <c r="O1751" s="3"/>
      <c r="P1751" s="3"/>
    </row>
    <row r="1752" spans="4:16" x14ac:dyDescent="0.25">
      <c r="D1752" s="2"/>
      <c r="F1752" s="3"/>
      <c r="G1752" s="3"/>
      <c r="H1752" s="3"/>
      <c r="I1752" s="3"/>
      <c r="J1752" s="3"/>
      <c r="K1752" s="3"/>
      <c r="M1752" s="10"/>
      <c r="N1752" s="3"/>
      <c r="O1752" s="3"/>
      <c r="P1752" s="3"/>
    </row>
    <row r="1753" spans="4:16" x14ac:dyDescent="0.25">
      <c r="D1753" s="2"/>
      <c r="F1753" s="3"/>
      <c r="G1753" s="3"/>
      <c r="H1753" s="3"/>
      <c r="I1753" s="3"/>
      <c r="J1753" s="3"/>
      <c r="K1753" s="3"/>
      <c r="M1753" s="10"/>
      <c r="N1753" s="3"/>
      <c r="O1753" s="3"/>
      <c r="P1753" s="3"/>
    </row>
    <row r="1754" spans="4:16" x14ac:dyDescent="0.25">
      <c r="D1754" s="2"/>
      <c r="F1754" s="3"/>
      <c r="G1754" s="3"/>
      <c r="H1754" s="3"/>
      <c r="I1754" s="3"/>
      <c r="J1754" s="3"/>
      <c r="K1754" s="3"/>
      <c r="M1754" s="10"/>
      <c r="N1754" s="3"/>
      <c r="O1754" s="3"/>
      <c r="P1754" s="3"/>
    </row>
    <row r="1755" spans="4:16" x14ac:dyDescent="0.25">
      <c r="D1755" s="2"/>
      <c r="F1755" s="3"/>
      <c r="G1755" s="3"/>
      <c r="H1755" s="3"/>
      <c r="I1755" s="3"/>
      <c r="J1755" s="3"/>
      <c r="K1755" s="3"/>
      <c r="M1755" s="10"/>
      <c r="N1755" s="3"/>
      <c r="O1755" s="3"/>
      <c r="P1755" s="3"/>
    </row>
    <row r="1756" spans="4:16" x14ac:dyDescent="0.25">
      <c r="D1756" s="2"/>
      <c r="F1756" s="3"/>
      <c r="G1756" s="3"/>
      <c r="H1756" s="3"/>
      <c r="I1756" s="3"/>
      <c r="J1756" s="3"/>
      <c r="K1756" s="3"/>
      <c r="M1756" s="10"/>
      <c r="N1756" s="3"/>
      <c r="O1756" s="3"/>
      <c r="P1756" s="3"/>
    </row>
    <row r="1757" spans="4:16" x14ac:dyDescent="0.25">
      <c r="D1757" s="2"/>
      <c r="F1757" s="3"/>
      <c r="G1757" s="3"/>
      <c r="H1757" s="3"/>
      <c r="I1757" s="3"/>
      <c r="J1757" s="3"/>
      <c r="K1757" s="3"/>
      <c r="M1757" s="10"/>
      <c r="N1757" s="3"/>
      <c r="O1757" s="3"/>
      <c r="P1757" s="3"/>
    </row>
    <row r="1758" spans="4:16" x14ac:dyDescent="0.25">
      <c r="D1758" s="2"/>
      <c r="F1758" s="3"/>
      <c r="G1758" s="3"/>
      <c r="H1758" s="3"/>
      <c r="I1758" s="3"/>
      <c r="J1758" s="3"/>
      <c r="K1758" s="3"/>
      <c r="M1758" s="10"/>
      <c r="N1758" s="3"/>
      <c r="O1758" s="3"/>
      <c r="P1758" s="3"/>
    </row>
    <row r="1759" spans="4:16" x14ac:dyDescent="0.25">
      <c r="D1759" s="2"/>
      <c r="F1759" s="3"/>
      <c r="G1759" s="3"/>
      <c r="H1759" s="3"/>
      <c r="I1759" s="3"/>
      <c r="J1759" s="3"/>
      <c r="K1759" s="3"/>
      <c r="M1759" s="10"/>
      <c r="N1759" s="3"/>
      <c r="O1759" s="3"/>
      <c r="P1759" s="3"/>
    </row>
    <row r="1760" spans="4:16" x14ac:dyDescent="0.25">
      <c r="D1760" s="2"/>
      <c r="F1760" s="3"/>
      <c r="G1760" s="3"/>
      <c r="H1760" s="3"/>
      <c r="I1760" s="3"/>
      <c r="J1760" s="3"/>
      <c r="K1760" s="3"/>
      <c r="M1760" s="10"/>
      <c r="N1760" s="3"/>
      <c r="O1760" s="3"/>
      <c r="P1760" s="3"/>
    </row>
    <row r="1761" spans="4:16" x14ac:dyDescent="0.25">
      <c r="D1761" s="2"/>
      <c r="F1761" s="3"/>
      <c r="G1761" s="3"/>
      <c r="H1761" s="3"/>
      <c r="I1761" s="3"/>
      <c r="J1761" s="3"/>
      <c r="K1761" s="3"/>
      <c r="M1761" s="10"/>
      <c r="N1761" s="3"/>
      <c r="O1761" s="3"/>
      <c r="P1761" s="3"/>
    </row>
    <row r="1762" spans="4:16" x14ac:dyDescent="0.25">
      <c r="D1762" s="2"/>
      <c r="F1762" s="3"/>
      <c r="G1762" s="3"/>
      <c r="H1762" s="3"/>
      <c r="I1762" s="3"/>
      <c r="J1762" s="3"/>
      <c r="K1762" s="3"/>
      <c r="M1762" s="10"/>
      <c r="N1762" s="3"/>
      <c r="O1762" s="3"/>
      <c r="P1762" s="3"/>
    </row>
    <row r="1763" spans="4:16" x14ac:dyDescent="0.25">
      <c r="D1763" s="2"/>
      <c r="F1763" s="3"/>
      <c r="G1763" s="3"/>
      <c r="H1763" s="3"/>
      <c r="I1763" s="3"/>
      <c r="J1763" s="3"/>
      <c r="K1763" s="3"/>
      <c r="M1763" s="10"/>
      <c r="N1763" s="3"/>
      <c r="O1763" s="3"/>
      <c r="P1763" s="3"/>
    </row>
    <row r="1764" spans="4:16" x14ac:dyDescent="0.25">
      <c r="D1764" s="2"/>
      <c r="F1764" s="3"/>
      <c r="G1764" s="3"/>
      <c r="H1764" s="3"/>
      <c r="I1764" s="3"/>
      <c r="J1764" s="3"/>
      <c r="K1764" s="3"/>
      <c r="M1764" s="10"/>
      <c r="N1764" s="3"/>
      <c r="O1764" s="3"/>
      <c r="P1764" s="3"/>
    </row>
    <row r="1765" spans="4:16" x14ac:dyDescent="0.25">
      <c r="D1765" s="2"/>
      <c r="F1765" s="3"/>
      <c r="G1765" s="3"/>
      <c r="H1765" s="3"/>
      <c r="I1765" s="3"/>
      <c r="J1765" s="3"/>
      <c r="K1765" s="3"/>
      <c r="M1765" s="10"/>
      <c r="N1765" s="3"/>
      <c r="O1765" s="3"/>
      <c r="P1765" s="3"/>
    </row>
    <row r="1766" spans="4:16" x14ac:dyDescent="0.25">
      <c r="D1766" s="2"/>
      <c r="F1766" s="3"/>
      <c r="G1766" s="3"/>
      <c r="H1766" s="3"/>
      <c r="I1766" s="3"/>
      <c r="J1766" s="3"/>
      <c r="K1766" s="3"/>
      <c r="M1766" s="10"/>
      <c r="N1766" s="3"/>
      <c r="O1766" s="3"/>
      <c r="P1766" s="3"/>
    </row>
    <row r="1767" spans="4:16" x14ac:dyDescent="0.25">
      <c r="D1767" s="2"/>
      <c r="F1767" s="3"/>
      <c r="G1767" s="3"/>
      <c r="H1767" s="3"/>
      <c r="I1767" s="3"/>
      <c r="J1767" s="3"/>
      <c r="K1767" s="3"/>
      <c r="M1767" s="10"/>
      <c r="N1767" s="3"/>
      <c r="O1767" s="3"/>
      <c r="P1767" s="3"/>
    </row>
    <row r="1768" spans="4:16" x14ac:dyDescent="0.25">
      <c r="D1768" s="2"/>
      <c r="F1768" s="3"/>
      <c r="G1768" s="3"/>
      <c r="H1768" s="3"/>
      <c r="I1768" s="3"/>
      <c r="J1768" s="3"/>
      <c r="K1768" s="3"/>
      <c r="M1768" s="10"/>
      <c r="N1768" s="3"/>
      <c r="O1768" s="3"/>
      <c r="P1768" s="3"/>
    </row>
    <row r="1769" spans="4:16" x14ac:dyDescent="0.25">
      <c r="D1769" s="2"/>
      <c r="F1769" s="3"/>
      <c r="G1769" s="3"/>
      <c r="H1769" s="3"/>
      <c r="I1769" s="3"/>
      <c r="J1769" s="3"/>
      <c r="K1769" s="3"/>
      <c r="M1769" s="10"/>
      <c r="N1769" s="3"/>
      <c r="O1769" s="3"/>
      <c r="P1769" s="3"/>
    </row>
    <row r="1770" spans="4:16" x14ac:dyDescent="0.25">
      <c r="D1770" s="2"/>
      <c r="F1770" s="3"/>
      <c r="G1770" s="3"/>
      <c r="H1770" s="3"/>
      <c r="I1770" s="3"/>
      <c r="J1770" s="3"/>
      <c r="K1770" s="3"/>
      <c r="M1770" s="10"/>
      <c r="N1770" s="3"/>
      <c r="O1770" s="3"/>
      <c r="P1770" s="3"/>
    </row>
    <row r="1771" spans="4:16" x14ac:dyDescent="0.25">
      <c r="D1771" s="2"/>
      <c r="F1771" s="3"/>
      <c r="G1771" s="3"/>
      <c r="H1771" s="3"/>
      <c r="I1771" s="3"/>
      <c r="J1771" s="3"/>
      <c r="K1771" s="3"/>
      <c r="M1771" s="10"/>
      <c r="N1771" s="3"/>
      <c r="O1771" s="3"/>
      <c r="P1771" s="3"/>
    </row>
    <row r="1772" spans="4:16" x14ac:dyDescent="0.25">
      <c r="D1772" s="2"/>
      <c r="F1772" s="3"/>
      <c r="G1772" s="3"/>
      <c r="H1772" s="3"/>
      <c r="I1772" s="3"/>
      <c r="J1772" s="3"/>
      <c r="K1772" s="3"/>
      <c r="M1772" s="10"/>
      <c r="N1772" s="3"/>
      <c r="O1772" s="3"/>
      <c r="P1772" s="3"/>
    </row>
    <row r="1773" spans="4:16" x14ac:dyDescent="0.25">
      <c r="D1773" s="2"/>
      <c r="F1773" s="3"/>
      <c r="G1773" s="3"/>
      <c r="H1773" s="3"/>
      <c r="I1773" s="3"/>
      <c r="J1773" s="3"/>
      <c r="K1773" s="3"/>
      <c r="M1773" s="10"/>
      <c r="N1773" s="3"/>
      <c r="O1773" s="3"/>
      <c r="P1773" s="3"/>
    </row>
    <row r="1774" spans="4:16" x14ac:dyDescent="0.25">
      <c r="D1774" s="2"/>
      <c r="F1774" s="3"/>
      <c r="G1774" s="3"/>
      <c r="H1774" s="3"/>
      <c r="I1774" s="3"/>
      <c r="J1774" s="3"/>
      <c r="K1774" s="3"/>
      <c r="M1774" s="10"/>
      <c r="N1774" s="3"/>
      <c r="O1774" s="3"/>
      <c r="P1774" s="3"/>
    </row>
    <row r="1775" spans="4:16" x14ac:dyDescent="0.25">
      <c r="D1775" s="2"/>
      <c r="F1775" s="3"/>
      <c r="G1775" s="3"/>
      <c r="H1775" s="3"/>
      <c r="I1775" s="3"/>
      <c r="J1775" s="3"/>
      <c r="K1775" s="3"/>
      <c r="M1775" s="10"/>
      <c r="N1775" s="3"/>
      <c r="O1775" s="3"/>
      <c r="P1775" s="3"/>
    </row>
    <row r="1776" spans="4:16" x14ac:dyDescent="0.25">
      <c r="D1776" s="2"/>
      <c r="F1776" s="3"/>
      <c r="G1776" s="3"/>
      <c r="H1776" s="3"/>
      <c r="I1776" s="3"/>
      <c r="J1776" s="3"/>
      <c r="K1776" s="3"/>
      <c r="M1776" s="10"/>
      <c r="N1776" s="3"/>
      <c r="O1776" s="3"/>
      <c r="P1776" s="3"/>
    </row>
    <row r="1777" spans="4:16" x14ac:dyDescent="0.25">
      <c r="D1777" s="2"/>
      <c r="F1777" s="3"/>
      <c r="G1777" s="3"/>
      <c r="H1777" s="3"/>
      <c r="I1777" s="3"/>
      <c r="J1777" s="3"/>
      <c r="K1777" s="3"/>
      <c r="M1777" s="10"/>
      <c r="N1777" s="3"/>
      <c r="O1777" s="3"/>
      <c r="P1777" s="3"/>
    </row>
    <row r="1778" spans="4:16" x14ac:dyDescent="0.25">
      <c r="D1778" s="2"/>
      <c r="F1778" s="3"/>
      <c r="G1778" s="3"/>
      <c r="H1778" s="3"/>
      <c r="I1778" s="3"/>
      <c r="J1778" s="3"/>
      <c r="K1778" s="3"/>
      <c r="M1778" s="10"/>
      <c r="N1778" s="3"/>
      <c r="O1778" s="3"/>
      <c r="P1778" s="3"/>
    </row>
    <row r="1779" spans="4:16" x14ac:dyDescent="0.25">
      <c r="D1779" s="2"/>
      <c r="F1779" s="3"/>
      <c r="G1779" s="3"/>
      <c r="H1779" s="3"/>
      <c r="I1779" s="3"/>
      <c r="J1779" s="3"/>
      <c r="K1779" s="3"/>
      <c r="M1779" s="10"/>
      <c r="N1779" s="3"/>
      <c r="O1779" s="3"/>
      <c r="P1779" s="3"/>
    </row>
    <row r="1780" spans="4:16" x14ac:dyDescent="0.25">
      <c r="D1780" s="2"/>
      <c r="F1780" s="3"/>
      <c r="G1780" s="3"/>
      <c r="H1780" s="3"/>
      <c r="I1780" s="3"/>
      <c r="J1780" s="3"/>
      <c r="K1780" s="3"/>
      <c r="M1780" s="10"/>
      <c r="N1780" s="3"/>
      <c r="O1780" s="3"/>
      <c r="P1780" s="3"/>
    </row>
    <row r="1781" spans="4:16" x14ac:dyDescent="0.25">
      <c r="D1781" s="2"/>
      <c r="F1781" s="3"/>
      <c r="G1781" s="3"/>
      <c r="H1781" s="3"/>
      <c r="I1781" s="3"/>
      <c r="J1781" s="3"/>
      <c r="K1781" s="3"/>
      <c r="M1781" s="10"/>
      <c r="N1781" s="3"/>
      <c r="O1781" s="3"/>
      <c r="P1781" s="3"/>
    </row>
    <row r="1782" spans="4:16" x14ac:dyDescent="0.25">
      <c r="D1782" s="2"/>
      <c r="F1782" s="3"/>
      <c r="G1782" s="3"/>
      <c r="H1782" s="3"/>
      <c r="I1782" s="3"/>
      <c r="J1782" s="3"/>
      <c r="K1782" s="3"/>
      <c r="M1782" s="10"/>
      <c r="N1782" s="3"/>
      <c r="O1782" s="3"/>
      <c r="P1782" s="3"/>
    </row>
    <row r="1783" spans="4:16" x14ac:dyDescent="0.25">
      <c r="D1783" s="2"/>
      <c r="F1783" s="3"/>
      <c r="G1783" s="3"/>
      <c r="H1783" s="3"/>
      <c r="I1783" s="3"/>
      <c r="J1783" s="3"/>
      <c r="K1783" s="3"/>
      <c r="M1783" s="10"/>
      <c r="N1783" s="3"/>
      <c r="O1783" s="3"/>
      <c r="P1783" s="3"/>
    </row>
    <row r="1784" spans="4:16" x14ac:dyDescent="0.25">
      <c r="D1784" s="2"/>
      <c r="F1784" s="3"/>
      <c r="G1784" s="3"/>
      <c r="H1784" s="3"/>
      <c r="I1784" s="3"/>
      <c r="J1784" s="3"/>
      <c r="K1784" s="3"/>
      <c r="M1784" s="10"/>
      <c r="N1784" s="3"/>
      <c r="O1784" s="3"/>
      <c r="P1784" s="3"/>
    </row>
    <row r="1785" spans="4:16" x14ac:dyDescent="0.25">
      <c r="D1785" s="2"/>
      <c r="F1785" s="3"/>
      <c r="G1785" s="3"/>
      <c r="H1785" s="3"/>
      <c r="I1785" s="3"/>
      <c r="J1785" s="3"/>
      <c r="K1785" s="3"/>
      <c r="M1785" s="10"/>
      <c r="N1785" s="3"/>
      <c r="O1785" s="3"/>
      <c r="P1785" s="3"/>
    </row>
    <row r="1786" spans="4:16" x14ac:dyDescent="0.25">
      <c r="D1786" s="2"/>
      <c r="F1786" s="3"/>
      <c r="G1786" s="3"/>
      <c r="H1786" s="3"/>
      <c r="I1786" s="3"/>
      <c r="J1786" s="3"/>
      <c r="K1786" s="3"/>
      <c r="M1786" s="10"/>
      <c r="N1786" s="3"/>
      <c r="O1786" s="3"/>
      <c r="P1786" s="3"/>
    </row>
    <row r="1787" spans="4:16" x14ac:dyDescent="0.25">
      <c r="D1787" s="2"/>
      <c r="F1787" s="3"/>
      <c r="G1787" s="3"/>
      <c r="H1787" s="3"/>
      <c r="I1787" s="3"/>
      <c r="J1787" s="3"/>
      <c r="K1787" s="3"/>
      <c r="M1787" s="10"/>
      <c r="N1787" s="3"/>
      <c r="O1787" s="3"/>
      <c r="P1787" s="3"/>
    </row>
    <row r="1788" spans="4:16" x14ac:dyDescent="0.25">
      <c r="D1788" s="2"/>
      <c r="F1788" s="3"/>
      <c r="G1788" s="3"/>
      <c r="H1788" s="3"/>
      <c r="I1788" s="3"/>
      <c r="J1788" s="3"/>
      <c r="K1788" s="3"/>
      <c r="M1788" s="10"/>
      <c r="N1788" s="3"/>
      <c r="O1788" s="3"/>
      <c r="P1788" s="3"/>
    </row>
    <row r="1789" spans="4:16" x14ac:dyDescent="0.25">
      <c r="D1789" s="2"/>
      <c r="F1789" s="3"/>
      <c r="G1789" s="3"/>
      <c r="H1789" s="3"/>
      <c r="I1789" s="3"/>
      <c r="J1789" s="3"/>
      <c r="K1789" s="3"/>
      <c r="M1789" s="10"/>
      <c r="N1789" s="3"/>
      <c r="O1789" s="3"/>
      <c r="P1789" s="3"/>
    </row>
    <row r="1790" spans="4:16" x14ac:dyDescent="0.25">
      <c r="D1790" s="2"/>
      <c r="F1790" s="3"/>
      <c r="G1790" s="3"/>
      <c r="H1790" s="3"/>
      <c r="I1790" s="3"/>
      <c r="J1790" s="3"/>
      <c r="K1790" s="3"/>
      <c r="M1790" s="10"/>
      <c r="N1790" s="3"/>
      <c r="O1790" s="3"/>
      <c r="P1790" s="3"/>
    </row>
    <row r="1791" spans="4:16" x14ac:dyDescent="0.25">
      <c r="D1791" s="2"/>
      <c r="F1791" s="3"/>
      <c r="G1791" s="3"/>
      <c r="H1791" s="3"/>
      <c r="I1791" s="3"/>
      <c r="J1791" s="3"/>
      <c r="K1791" s="3"/>
      <c r="M1791" s="10"/>
      <c r="N1791" s="3"/>
      <c r="O1791" s="3"/>
      <c r="P1791" s="3"/>
    </row>
    <row r="1792" spans="4:16" x14ac:dyDescent="0.25">
      <c r="D1792" s="2"/>
      <c r="F1792" s="3"/>
      <c r="G1792" s="3"/>
      <c r="H1792" s="3"/>
      <c r="I1792" s="3"/>
      <c r="J1792" s="3"/>
      <c r="K1792" s="3"/>
      <c r="M1792" s="10"/>
      <c r="N1792" s="3"/>
      <c r="O1792" s="3"/>
      <c r="P1792" s="3"/>
    </row>
    <row r="1793" spans="4:16" x14ac:dyDescent="0.25">
      <c r="D1793" s="2"/>
      <c r="F1793" s="3"/>
      <c r="G1793" s="3"/>
      <c r="H1793" s="3"/>
      <c r="I1793" s="3"/>
      <c r="J1793" s="3"/>
      <c r="K1793" s="3"/>
      <c r="M1793" s="10"/>
      <c r="N1793" s="3"/>
      <c r="O1793" s="3"/>
      <c r="P1793" s="3"/>
    </row>
    <row r="1794" spans="4:16" x14ac:dyDescent="0.25">
      <c r="D1794" s="2"/>
      <c r="F1794" s="3"/>
      <c r="G1794" s="3"/>
      <c r="H1794" s="3"/>
      <c r="I1794" s="3"/>
      <c r="J1794" s="3"/>
      <c r="K1794" s="3"/>
      <c r="M1794" s="10"/>
      <c r="N1794" s="3"/>
      <c r="O1794" s="3"/>
      <c r="P1794" s="3"/>
    </row>
    <row r="1795" spans="4:16" x14ac:dyDescent="0.25">
      <c r="D1795" s="2"/>
      <c r="F1795" s="3"/>
      <c r="G1795" s="3"/>
      <c r="H1795" s="3"/>
      <c r="I1795" s="3"/>
      <c r="J1795" s="3"/>
      <c r="K1795" s="3"/>
      <c r="M1795" s="10"/>
      <c r="N1795" s="3"/>
      <c r="O1795" s="3"/>
      <c r="P1795" s="3"/>
    </row>
    <row r="1796" spans="4:16" x14ac:dyDescent="0.25">
      <c r="D1796" s="2"/>
      <c r="F1796" s="3"/>
      <c r="G1796" s="3"/>
      <c r="H1796" s="3"/>
      <c r="I1796" s="3"/>
      <c r="J1796" s="3"/>
      <c r="K1796" s="3"/>
      <c r="M1796" s="10"/>
      <c r="N1796" s="3"/>
      <c r="O1796" s="3"/>
      <c r="P1796" s="3"/>
    </row>
    <row r="1797" spans="4:16" x14ac:dyDescent="0.25">
      <c r="D1797" s="2"/>
      <c r="F1797" s="3"/>
      <c r="G1797" s="3"/>
      <c r="H1797" s="3"/>
      <c r="I1797" s="3"/>
      <c r="J1797" s="3"/>
      <c r="K1797" s="3"/>
      <c r="M1797" s="10"/>
      <c r="N1797" s="3"/>
      <c r="O1797" s="3"/>
      <c r="P1797" s="3"/>
    </row>
    <row r="1798" spans="4:16" x14ac:dyDescent="0.25">
      <c r="D1798" s="2"/>
      <c r="F1798" s="3"/>
      <c r="G1798" s="3"/>
      <c r="H1798" s="3"/>
      <c r="I1798" s="3"/>
      <c r="J1798" s="3"/>
      <c r="K1798" s="3"/>
      <c r="M1798" s="10"/>
      <c r="N1798" s="3"/>
      <c r="O1798" s="3"/>
      <c r="P1798" s="3"/>
    </row>
    <row r="1799" spans="4:16" x14ac:dyDescent="0.25">
      <c r="D1799" s="2"/>
      <c r="F1799" s="3"/>
      <c r="G1799" s="3"/>
      <c r="H1799" s="3"/>
      <c r="I1799" s="3"/>
      <c r="J1799" s="3"/>
      <c r="K1799" s="3"/>
      <c r="M1799" s="10"/>
      <c r="N1799" s="3"/>
      <c r="O1799" s="3"/>
      <c r="P1799" s="3"/>
    </row>
    <row r="1800" spans="4:16" x14ac:dyDescent="0.25">
      <c r="D1800" s="2"/>
      <c r="F1800" s="3"/>
      <c r="G1800" s="3"/>
      <c r="H1800" s="3"/>
      <c r="I1800" s="3"/>
      <c r="J1800" s="3"/>
      <c r="K1800" s="3"/>
      <c r="M1800" s="10"/>
      <c r="N1800" s="3"/>
      <c r="O1800" s="3"/>
      <c r="P1800" s="3"/>
    </row>
    <row r="1801" spans="4:16" x14ac:dyDescent="0.25">
      <c r="D1801" s="2"/>
      <c r="F1801" s="3"/>
      <c r="G1801" s="3"/>
      <c r="H1801" s="3"/>
      <c r="I1801" s="3"/>
      <c r="J1801" s="3"/>
      <c r="K1801" s="3"/>
      <c r="M1801" s="10"/>
      <c r="N1801" s="3"/>
      <c r="O1801" s="3"/>
      <c r="P1801" s="3"/>
    </row>
    <row r="1802" spans="4:16" x14ac:dyDescent="0.25">
      <c r="D1802" s="2"/>
      <c r="F1802" s="3"/>
      <c r="G1802" s="3"/>
      <c r="H1802" s="3"/>
      <c r="I1802" s="3"/>
      <c r="J1802" s="3"/>
      <c r="K1802" s="3"/>
      <c r="M1802" s="10"/>
      <c r="N1802" s="3"/>
      <c r="O1802" s="3"/>
      <c r="P1802" s="3"/>
    </row>
    <row r="1803" spans="4:16" x14ac:dyDescent="0.25">
      <c r="D1803" s="2"/>
      <c r="F1803" s="3"/>
      <c r="G1803" s="3"/>
      <c r="H1803" s="3"/>
      <c r="I1803" s="3"/>
      <c r="J1803" s="3"/>
      <c r="K1803" s="3"/>
      <c r="M1803" s="10"/>
      <c r="N1803" s="3"/>
      <c r="O1803" s="3"/>
      <c r="P1803" s="3"/>
    </row>
    <row r="1804" spans="4:16" x14ac:dyDescent="0.25">
      <c r="D1804" s="2"/>
      <c r="F1804" s="3"/>
      <c r="G1804" s="3"/>
      <c r="H1804" s="3"/>
      <c r="I1804" s="3"/>
      <c r="J1804" s="3"/>
      <c r="K1804" s="3"/>
      <c r="M1804" s="10"/>
      <c r="N1804" s="3"/>
      <c r="O1804" s="3"/>
      <c r="P1804" s="3"/>
    </row>
    <row r="1805" spans="4:16" x14ac:dyDescent="0.25">
      <c r="D1805" s="2"/>
      <c r="F1805" s="3"/>
      <c r="G1805" s="3"/>
      <c r="H1805" s="3"/>
      <c r="I1805" s="3"/>
      <c r="J1805" s="3"/>
      <c r="K1805" s="3"/>
      <c r="M1805" s="10"/>
      <c r="N1805" s="3"/>
      <c r="O1805" s="3"/>
      <c r="P1805" s="3"/>
    </row>
    <row r="1806" spans="4:16" x14ac:dyDescent="0.25">
      <c r="D1806" s="2"/>
      <c r="F1806" s="3"/>
      <c r="G1806" s="3"/>
      <c r="H1806" s="3"/>
      <c r="I1806" s="3"/>
      <c r="J1806" s="3"/>
      <c r="K1806" s="3"/>
      <c r="M1806" s="10"/>
      <c r="N1806" s="3"/>
      <c r="O1806" s="3"/>
      <c r="P1806" s="3"/>
    </row>
    <row r="1807" spans="4:16" x14ac:dyDescent="0.25">
      <c r="D1807" s="2"/>
      <c r="F1807" s="3"/>
      <c r="G1807" s="3"/>
      <c r="H1807" s="3"/>
      <c r="I1807" s="3"/>
      <c r="J1807" s="3"/>
      <c r="K1807" s="3"/>
      <c r="M1807" s="10"/>
      <c r="N1807" s="3"/>
      <c r="O1807" s="3"/>
      <c r="P1807" s="3"/>
    </row>
    <row r="1808" spans="4:16" x14ac:dyDescent="0.25">
      <c r="D1808" s="2"/>
      <c r="F1808" s="3"/>
      <c r="G1808" s="3"/>
      <c r="H1808" s="3"/>
      <c r="I1808" s="3"/>
      <c r="J1808" s="3"/>
      <c r="K1808" s="3"/>
      <c r="M1808" s="10"/>
      <c r="N1808" s="3"/>
      <c r="O1808" s="3"/>
      <c r="P1808" s="3"/>
    </row>
    <row r="1809" spans="4:16" x14ac:dyDescent="0.25">
      <c r="D1809" s="2"/>
      <c r="F1809" s="3"/>
      <c r="G1809" s="3"/>
      <c r="H1809" s="3"/>
      <c r="I1809" s="3"/>
      <c r="J1809" s="3"/>
      <c r="K1809" s="3"/>
      <c r="M1809" s="10"/>
      <c r="N1809" s="3"/>
      <c r="O1809" s="3"/>
      <c r="P1809" s="3"/>
    </row>
    <row r="1810" spans="4:16" x14ac:dyDescent="0.25">
      <c r="D1810" s="2"/>
      <c r="F1810" s="3"/>
      <c r="G1810" s="3"/>
      <c r="H1810" s="3"/>
      <c r="I1810" s="3"/>
      <c r="J1810" s="3"/>
      <c r="K1810" s="3"/>
      <c r="M1810" s="10"/>
      <c r="N1810" s="3"/>
      <c r="O1810" s="3"/>
      <c r="P1810" s="3"/>
    </row>
    <row r="1811" spans="4:16" x14ac:dyDescent="0.25">
      <c r="D1811" s="2"/>
      <c r="F1811" s="3"/>
      <c r="G1811" s="3"/>
      <c r="H1811" s="3"/>
      <c r="I1811" s="3"/>
      <c r="J1811" s="3"/>
      <c r="K1811" s="3"/>
      <c r="M1811" s="10"/>
      <c r="N1811" s="3"/>
      <c r="O1811" s="3"/>
      <c r="P1811" s="3"/>
    </row>
    <row r="1812" spans="4:16" x14ac:dyDescent="0.25">
      <c r="D1812" s="2"/>
      <c r="F1812" s="3"/>
      <c r="G1812" s="3"/>
      <c r="H1812" s="3"/>
      <c r="I1812" s="3"/>
      <c r="J1812" s="3"/>
      <c r="K1812" s="3"/>
      <c r="M1812" s="10"/>
      <c r="N1812" s="3"/>
      <c r="O1812" s="3"/>
      <c r="P1812" s="3"/>
    </row>
    <row r="1813" spans="4:16" x14ac:dyDescent="0.25">
      <c r="D1813" s="2"/>
      <c r="F1813" s="3"/>
      <c r="G1813" s="3"/>
      <c r="H1813" s="3"/>
      <c r="I1813" s="3"/>
      <c r="J1813" s="3"/>
      <c r="K1813" s="3"/>
      <c r="M1813" s="10"/>
      <c r="N1813" s="3"/>
      <c r="O1813" s="3"/>
      <c r="P1813" s="3"/>
    </row>
    <row r="1814" spans="4:16" x14ac:dyDescent="0.25">
      <c r="D1814" s="2"/>
      <c r="F1814" s="3"/>
      <c r="G1814" s="3"/>
      <c r="H1814" s="3"/>
      <c r="I1814" s="3"/>
      <c r="J1814" s="3"/>
      <c r="K1814" s="3"/>
      <c r="M1814" s="10"/>
      <c r="N1814" s="3"/>
      <c r="O1814" s="3"/>
      <c r="P1814" s="3"/>
    </row>
    <row r="1815" spans="4:16" x14ac:dyDescent="0.25">
      <c r="D1815" s="2"/>
      <c r="F1815" s="3"/>
      <c r="G1815" s="3"/>
      <c r="H1815" s="3"/>
      <c r="I1815" s="3"/>
      <c r="J1815" s="3"/>
      <c r="K1815" s="3"/>
      <c r="M1815" s="10"/>
      <c r="N1815" s="3"/>
      <c r="O1815" s="3"/>
      <c r="P1815" s="3"/>
    </row>
    <row r="1816" spans="4:16" x14ac:dyDescent="0.25">
      <c r="D1816" s="2"/>
      <c r="F1816" s="3"/>
      <c r="G1816" s="3"/>
      <c r="H1816" s="3"/>
      <c r="I1816" s="3"/>
      <c r="J1816" s="3"/>
      <c r="K1816" s="3"/>
      <c r="M1816" s="10"/>
      <c r="N1816" s="3"/>
      <c r="O1816" s="3"/>
      <c r="P1816" s="3"/>
    </row>
    <row r="1817" spans="4:16" x14ac:dyDescent="0.25">
      <c r="D1817" s="2"/>
      <c r="F1817" s="3"/>
      <c r="G1817" s="3"/>
      <c r="H1817" s="3"/>
      <c r="I1817" s="3"/>
      <c r="J1817" s="3"/>
      <c r="K1817" s="3"/>
      <c r="M1817" s="10"/>
      <c r="N1817" s="3"/>
      <c r="O1817" s="3"/>
      <c r="P1817" s="3"/>
    </row>
    <row r="1818" spans="4:16" x14ac:dyDescent="0.25">
      <c r="D1818" s="2"/>
      <c r="F1818" s="3"/>
      <c r="G1818" s="3"/>
      <c r="H1818" s="3"/>
      <c r="I1818" s="3"/>
      <c r="J1818" s="3"/>
      <c r="K1818" s="3"/>
      <c r="M1818" s="10"/>
      <c r="N1818" s="3"/>
      <c r="O1818" s="3"/>
      <c r="P1818" s="3"/>
    </row>
    <row r="1819" spans="4:16" x14ac:dyDescent="0.25">
      <c r="D1819" s="2"/>
      <c r="F1819" s="3"/>
      <c r="G1819" s="3"/>
      <c r="H1819" s="3"/>
      <c r="I1819" s="3"/>
      <c r="J1819" s="3"/>
      <c r="K1819" s="3"/>
      <c r="M1819" s="10"/>
      <c r="N1819" s="3"/>
      <c r="O1819" s="3"/>
      <c r="P1819" s="3"/>
    </row>
    <row r="1820" spans="4:16" x14ac:dyDescent="0.25">
      <c r="D1820" s="2"/>
      <c r="F1820" s="3"/>
      <c r="G1820" s="3"/>
      <c r="H1820" s="3"/>
      <c r="I1820" s="3"/>
      <c r="J1820" s="3"/>
      <c r="K1820" s="3"/>
      <c r="M1820" s="10"/>
      <c r="N1820" s="3"/>
      <c r="O1820" s="3"/>
      <c r="P1820" s="3"/>
    </row>
    <row r="1821" spans="4:16" x14ac:dyDescent="0.25">
      <c r="D1821" s="2"/>
      <c r="F1821" s="3"/>
      <c r="G1821" s="3"/>
      <c r="H1821" s="3"/>
      <c r="I1821" s="3"/>
      <c r="J1821" s="3"/>
      <c r="K1821" s="3"/>
      <c r="M1821" s="10"/>
      <c r="N1821" s="3"/>
      <c r="O1821" s="3"/>
      <c r="P1821" s="3"/>
    </row>
    <row r="1822" spans="4:16" x14ac:dyDescent="0.25">
      <c r="D1822" s="2"/>
      <c r="F1822" s="3"/>
      <c r="G1822" s="3"/>
      <c r="H1822" s="3"/>
      <c r="I1822" s="3"/>
      <c r="J1822" s="3"/>
      <c r="K1822" s="3"/>
      <c r="M1822" s="10"/>
      <c r="N1822" s="3"/>
      <c r="O1822" s="3"/>
      <c r="P1822" s="3"/>
    </row>
    <row r="1823" spans="4:16" x14ac:dyDescent="0.25">
      <c r="D1823" s="2"/>
      <c r="F1823" s="3"/>
      <c r="G1823" s="3"/>
      <c r="H1823" s="3"/>
      <c r="I1823" s="3"/>
      <c r="J1823" s="3"/>
      <c r="K1823" s="3"/>
      <c r="M1823" s="10"/>
      <c r="N1823" s="3"/>
      <c r="O1823" s="3"/>
      <c r="P1823" s="3"/>
    </row>
    <row r="1824" spans="4:16" x14ac:dyDescent="0.25">
      <c r="D1824" s="2"/>
      <c r="F1824" s="3"/>
      <c r="G1824" s="3"/>
      <c r="H1824" s="3"/>
      <c r="I1824" s="3"/>
      <c r="J1824" s="3"/>
      <c r="K1824" s="3"/>
      <c r="M1824" s="10"/>
      <c r="N1824" s="3"/>
      <c r="O1824" s="3"/>
      <c r="P1824" s="3"/>
    </row>
    <row r="1825" spans="4:16" x14ac:dyDescent="0.25">
      <c r="D1825" s="2"/>
      <c r="F1825" s="3"/>
      <c r="G1825" s="3"/>
      <c r="H1825" s="3"/>
      <c r="I1825" s="3"/>
      <c r="J1825" s="3"/>
      <c r="K1825" s="3"/>
      <c r="M1825" s="10"/>
      <c r="N1825" s="3"/>
      <c r="O1825" s="3"/>
      <c r="P1825" s="3"/>
    </row>
    <row r="1826" spans="4:16" x14ac:dyDescent="0.25">
      <c r="D1826" s="2"/>
      <c r="F1826" s="3"/>
      <c r="G1826" s="3"/>
      <c r="H1826" s="3"/>
      <c r="I1826" s="3"/>
      <c r="J1826" s="3"/>
      <c r="K1826" s="3"/>
      <c r="M1826" s="10"/>
      <c r="N1826" s="3"/>
      <c r="O1826" s="3"/>
      <c r="P1826" s="3"/>
    </row>
    <row r="1827" spans="4:16" x14ac:dyDescent="0.25">
      <c r="D1827" s="2"/>
      <c r="F1827" s="3"/>
      <c r="G1827" s="3"/>
      <c r="H1827" s="3"/>
      <c r="I1827" s="3"/>
      <c r="J1827" s="3"/>
      <c r="K1827" s="3"/>
      <c r="M1827" s="10"/>
      <c r="N1827" s="3"/>
      <c r="O1827" s="3"/>
      <c r="P1827" s="3"/>
    </row>
    <row r="1828" spans="4:16" x14ac:dyDescent="0.25">
      <c r="D1828" s="2"/>
      <c r="F1828" s="3"/>
      <c r="G1828" s="3"/>
      <c r="H1828" s="3"/>
      <c r="I1828" s="3"/>
      <c r="J1828" s="3"/>
      <c r="K1828" s="3"/>
      <c r="M1828" s="10"/>
      <c r="N1828" s="3"/>
      <c r="O1828" s="3"/>
      <c r="P1828" s="3"/>
    </row>
    <row r="1829" spans="4:16" x14ac:dyDescent="0.25">
      <c r="D1829" s="2"/>
      <c r="F1829" s="3"/>
      <c r="G1829" s="3"/>
      <c r="H1829" s="3"/>
      <c r="I1829" s="3"/>
      <c r="J1829" s="3"/>
      <c r="K1829" s="3"/>
      <c r="M1829" s="10"/>
      <c r="N1829" s="3"/>
      <c r="O1829" s="3"/>
      <c r="P1829" s="3"/>
    </row>
    <row r="1830" spans="4:16" x14ac:dyDescent="0.25">
      <c r="D1830" s="2"/>
      <c r="F1830" s="3"/>
      <c r="G1830" s="3"/>
      <c r="H1830" s="3"/>
      <c r="I1830" s="3"/>
      <c r="J1830" s="3"/>
      <c r="K1830" s="3"/>
      <c r="M1830" s="10"/>
      <c r="N1830" s="3"/>
      <c r="O1830" s="3"/>
      <c r="P1830" s="3"/>
    </row>
    <row r="1831" spans="4:16" x14ac:dyDescent="0.25">
      <c r="D1831" s="2"/>
      <c r="F1831" s="3"/>
      <c r="G1831" s="3"/>
      <c r="H1831" s="3"/>
      <c r="I1831" s="3"/>
      <c r="J1831" s="3"/>
      <c r="K1831" s="3"/>
      <c r="M1831" s="10"/>
      <c r="N1831" s="3"/>
      <c r="O1831" s="3"/>
      <c r="P1831" s="3"/>
    </row>
    <row r="1832" spans="4:16" x14ac:dyDescent="0.25">
      <c r="D1832" s="2"/>
      <c r="F1832" s="3"/>
      <c r="G1832" s="3"/>
      <c r="H1832" s="3"/>
      <c r="I1832" s="3"/>
      <c r="J1832" s="3"/>
      <c r="K1832" s="3"/>
      <c r="M1832" s="10"/>
      <c r="N1832" s="3"/>
      <c r="O1832" s="3"/>
      <c r="P1832" s="3"/>
    </row>
    <row r="1833" spans="4:16" x14ac:dyDescent="0.25">
      <c r="D1833" s="2"/>
      <c r="F1833" s="3"/>
      <c r="G1833" s="3"/>
      <c r="H1833" s="3"/>
      <c r="I1833" s="3"/>
      <c r="J1833" s="3"/>
      <c r="K1833" s="3"/>
      <c r="M1833" s="10"/>
      <c r="N1833" s="3"/>
      <c r="O1833" s="3"/>
      <c r="P1833" s="3"/>
    </row>
    <row r="1834" spans="4:16" x14ac:dyDescent="0.25">
      <c r="D1834" s="2"/>
      <c r="F1834" s="3"/>
      <c r="G1834" s="3"/>
      <c r="H1834" s="3"/>
      <c r="I1834" s="3"/>
      <c r="J1834" s="3"/>
      <c r="K1834" s="3"/>
      <c r="M1834" s="10"/>
      <c r="N1834" s="3"/>
      <c r="O1834" s="3"/>
      <c r="P1834" s="3"/>
    </row>
    <row r="1835" spans="4:16" x14ac:dyDescent="0.25">
      <c r="D1835" s="2"/>
      <c r="F1835" s="3"/>
      <c r="G1835" s="3"/>
      <c r="H1835" s="3"/>
      <c r="I1835" s="3"/>
      <c r="J1835" s="3"/>
      <c r="K1835" s="3"/>
      <c r="M1835" s="10"/>
      <c r="N1835" s="3"/>
      <c r="O1835" s="3"/>
      <c r="P1835" s="3"/>
    </row>
    <row r="1836" spans="4:16" x14ac:dyDescent="0.25">
      <c r="D1836" s="2"/>
      <c r="F1836" s="3"/>
      <c r="G1836" s="3"/>
      <c r="H1836" s="3"/>
      <c r="I1836" s="3"/>
      <c r="J1836" s="3"/>
      <c r="K1836" s="3"/>
      <c r="M1836" s="10"/>
      <c r="N1836" s="3"/>
      <c r="O1836" s="3"/>
      <c r="P1836" s="3"/>
    </row>
    <row r="1837" spans="4:16" x14ac:dyDescent="0.25">
      <c r="D1837" s="2"/>
      <c r="F1837" s="3"/>
      <c r="G1837" s="3"/>
      <c r="H1837" s="3"/>
      <c r="I1837" s="3"/>
      <c r="J1837" s="3"/>
      <c r="K1837" s="3"/>
      <c r="M1837" s="10"/>
      <c r="N1837" s="3"/>
      <c r="O1837" s="3"/>
      <c r="P1837" s="3"/>
    </row>
    <row r="1838" spans="4:16" x14ac:dyDescent="0.25">
      <c r="D1838" s="2"/>
      <c r="F1838" s="3"/>
      <c r="G1838" s="3"/>
      <c r="H1838" s="3"/>
      <c r="I1838" s="3"/>
      <c r="J1838" s="3"/>
      <c r="K1838" s="3"/>
      <c r="M1838" s="10"/>
      <c r="N1838" s="3"/>
      <c r="O1838" s="3"/>
      <c r="P1838" s="3"/>
    </row>
    <row r="1839" spans="4:16" x14ac:dyDescent="0.25">
      <c r="D1839" s="2"/>
      <c r="F1839" s="3"/>
      <c r="G1839" s="3"/>
      <c r="H1839" s="3"/>
      <c r="I1839" s="3"/>
      <c r="J1839" s="3"/>
      <c r="K1839" s="3"/>
      <c r="M1839" s="10"/>
      <c r="N1839" s="3"/>
      <c r="O1839" s="3"/>
      <c r="P1839" s="3"/>
    </row>
    <row r="1840" spans="4:16" x14ac:dyDescent="0.25">
      <c r="D1840" s="2"/>
      <c r="F1840" s="3"/>
      <c r="G1840" s="3"/>
      <c r="H1840" s="3"/>
      <c r="I1840" s="3"/>
      <c r="J1840" s="3"/>
      <c r="K1840" s="3"/>
      <c r="M1840" s="10"/>
      <c r="N1840" s="3"/>
      <c r="O1840" s="3"/>
      <c r="P1840" s="3"/>
    </row>
    <row r="1841" spans="4:16" x14ac:dyDescent="0.25">
      <c r="D1841" s="2"/>
      <c r="F1841" s="3"/>
      <c r="G1841" s="3"/>
      <c r="H1841" s="3"/>
      <c r="I1841" s="3"/>
      <c r="J1841" s="3"/>
      <c r="K1841" s="3"/>
      <c r="M1841" s="10"/>
      <c r="N1841" s="3"/>
      <c r="O1841" s="3"/>
      <c r="P1841" s="3"/>
    </row>
    <row r="1842" spans="4:16" x14ac:dyDescent="0.25">
      <c r="D1842" s="2"/>
      <c r="F1842" s="3"/>
      <c r="G1842" s="3"/>
      <c r="H1842" s="3"/>
      <c r="I1842" s="3"/>
      <c r="J1842" s="3"/>
      <c r="K1842" s="3"/>
      <c r="M1842" s="10"/>
      <c r="N1842" s="3"/>
      <c r="O1842" s="3"/>
      <c r="P1842" s="3"/>
    </row>
    <row r="1843" spans="4:16" x14ac:dyDescent="0.25">
      <c r="D1843" s="2"/>
      <c r="F1843" s="3"/>
      <c r="G1843" s="3"/>
      <c r="H1843" s="3"/>
      <c r="I1843" s="3"/>
      <c r="J1843" s="3"/>
      <c r="K1843" s="3"/>
      <c r="M1843" s="10"/>
      <c r="N1843" s="3"/>
      <c r="O1843" s="3"/>
      <c r="P1843" s="3"/>
    </row>
    <row r="1844" spans="4:16" x14ac:dyDescent="0.25">
      <c r="D1844" s="2"/>
      <c r="F1844" s="3"/>
      <c r="G1844" s="3"/>
      <c r="H1844" s="3"/>
      <c r="I1844" s="3"/>
      <c r="J1844" s="3"/>
      <c r="K1844" s="3"/>
      <c r="M1844" s="10"/>
      <c r="N1844" s="3"/>
      <c r="O1844" s="3"/>
      <c r="P1844" s="3"/>
    </row>
    <row r="1845" spans="4:16" x14ac:dyDescent="0.25">
      <c r="D1845" s="2"/>
      <c r="F1845" s="3"/>
      <c r="G1845" s="3"/>
      <c r="H1845" s="3"/>
      <c r="I1845" s="3"/>
      <c r="J1845" s="3"/>
      <c r="K1845" s="3"/>
      <c r="M1845" s="10"/>
      <c r="N1845" s="3"/>
      <c r="O1845" s="3"/>
      <c r="P1845" s="3"/>
    </row>
    <row r="1846" spans="4:16" x14ac:dyDescent="0.25">
      <c r="D1846" s="2"/>
      <c r="F1846" s="3"/>
      <c r="G1846" s="3"/>
      <c r="H1846" s="3"/>
      <c r="I1846" s="3"/>
      <c r="J1846" s="3"/>
      <c r="K1846" s="3"/>
      <c r="M1846" s="10"/>
      <c r="N1846" s="3"/>
      <c r="O1846" s="3"/>
      <c r="P1846" s="3"/>
    </row>
    <row r="1847" spans="4:16" x14ac:dyDescent="0.25">
      <c r="D1847" s="2"/>
      <c r="F1847" s="3"/>
      <c r="G1847" s="3"/>
      <c r="H1847" s="3"/>
      <c r="I1847" s="3"/>
      <c r="J1847" s="3"/>
      <c r="K1847" s="3"/>
      <c r="M1847" s="10"/>
      <c r="N1847" s="3"/>
      <c r="O1847" s="3"/>
      <c r="P1847" s="3"/>
    </row>
    <row r="1848" spans="4:16" x14ac:dyDescent="0.25">
      <c r="D1848" s="2"/>
      <c r="F1848" s="3"/>
      <c r="G1848" s="3"/>
      <c r="H1848" s="3"/>
      <c r="I1848" s="3"/>
      <c r="J1848" s="3"/>
      <c r="K1848" s="3"/>
      <c r="M1848" s="10"/>
      <c r="N1848" s="3"/>
      <c r="O1848" s="3"/>
      <c r="P1848" s="3"/>
    </row>
    <row r="1849" spans="4:16" x14ac:dyDescent="0.25">
      <c r="D1849" s="2"/>
      <c r="F1849" s="3"/>
      <c r="G1849" s="3"/>
      <c r="H1849" s="3"/>
      <c r="I1849" s="3"/>
      <c r="J1849" s="3"/>
      <c r="K1849" s="3"/>
      <c r="M1849" s="10"/>
      <c r="N1849" s="3"/>
      <c r="O1849" s="3"/>
      <c r="P1849" s="3"/>
    </row>
    <row r="1850" spans="4:16" x14ac:dyDescent="0.25">
      <c r="D1850" s="2"/>
      <c r="F1850" s="3"/>
      <c r="G1850" s="3"/>
      <c r="H1850" s="3"/>
      <c r="I1850" s="3"/>
      <c r="J1850" s="3"/>
      <c r="K1850" s="3"/>
      <c r="M1850" s="10"/>
      <c r="N1850" s="3"/>
      <c r="O1850" s="3"/>
      <c r="P1850" s="3"/>
    </row>
    <row r="1851" spans="4:16" x14ac:dyDescent="0.25">
      <c r="D1851" s="2"/>
      <c r="F1851" s="3"/>
      <c r="G1851" s="3"/>
      <c r="H1851" s="3"/>
      <c r="I1851" s="3"/>
      <c r="J1851" s="3"/>
      <c r="K1851" s="3"/>
      <c r="M1851" s="10"/>
      <c r="N1851" s="3"/>
      <c r="O1851" s="3"/>
      <c r="P1851" s="3"/>
    </row>
    <row r="1852" spans="4:16" x14ac:dyDescent="0.25">
      <c r="D1852" s="2"/>
      <c r="F1852" s="3"/>
      <c r="G1852" s="3"/>
      <c r="H1852" s="3"/>
      <c r="I1852" s="3"/>
      <c r="J1852" s="3"/>
      <c r="K1852" s="3"/>
      <c r="M1852" s="10"/>
      <c r="N1852" s="3"/>
      <c r="O1852" s="3"/>
      <c r="P1852" s="3"/>
    </row>
    <row r="1853" spans="4:16" x14ac:dyDescent="0.25">
      <c r="D1853" s="2"/>
      <c r="F1853" s="3"/>
      <c r="G1853" s="3"/>
      <c r="H1853" s="3"/>
      <c r="I1853" s="3"/>
      <c r="J1853" s="3"/>
      <c r="K1853" s="3"/>
      <c r="M1853" s="10"/>
      <c r="N1853" s="3"/>
      <c r="O1853" s="3"/>
      <c r="P1853" s="3"/>
    </row>
    <row r="1854" spans="4:16" x14ac:dyDescent="0.25">
      <c r="D1854" s="2"/>
      <c r="F1854" s="3"/>
      <c r="G1854" s="3"/>
      <c r="H1854" s="3"/>
      <c r="I1854" s="3"/>
      <c r="J1854" s="3"/>
      <c r="K1854" s="3"/>
      <c r="M1854" s="10"/>
      <c r="N1854" s="3"/>
      <c r="O1854" s="3"/>
      <c r="P1854" s="3"/>
    </row>
    <row r="1855" spans="4:16" x14ac:dyDescent="0.25">
      <c r="D1855" s="2"/>
      <c r="F1855" s="3"/>
      <c r="G1855" s="3"/>
      <c r="H1855" s="3"/>
      <c r="I1855" s="3"/>
      <c r="J1855" s="3"/>
      <c r="K1855" s="3"/>
      <c r="M1855" s="10"/>
      <c r="N1855" s="3"/>
      <c r="O1855" s="3"/>
      <c r="P1855" s="3"/>
    </row>
    <row r="1856" spans="4:16" x14ac:dyDescent="0.25">
      <c r="D1856" s="2"/>
      <c r="F1856" s="3"/>
      <c r="G1856" s="3"/>
      <c r="H1856" s="3"/>
      <c r="I1856" s="3"/>
      <c r="J1856" s="3"/>
      <c r="K1856" s="3"/>
      <c r="M1856" s="10"/>
      <c r="N1856" s="3"/>
      <c r="O1856" s="3"/>
      <c r="P1856" s="3"/>
    </row>
    <row r="1857" spans="4:16" x14ac:dyDescent="0.25">
      <c r="D1857" s="2"/>
      <c r="F1857" s="3"/>
      <c r="G1857" s="3"/>
      <c r="H1857" s="3"/>
      <c r="I1857" s="3"/>
      <c r="J1857" s="3"/>
      <c r="K1857" s="3"/>
      <c r="M1857" s="10"/>
      <c r="N1857" s="3"/>
      <c r="O1857" s="3"/>
      <c r="P1857" s="3"/>
    </row>
    <row r="1858" spans="4:16" x14ac:dyDescent="0.25">
      <c r="D1858" s="2"/>
      <c r="F1858" s="3"/>
      <c r="G1858" s="3"/>
      <c r="H1858" s="3"/>
      <c r="I1858" s="3"/>
      <c r="J1858" s="3"/>
      <c r="K1858" s="3"/>
      <c r="M1858" s="10"/>
      <c r="N1858" s="3"/>
      <c r="O1858" s="3"/>
      <c r="P1858" s="3"/>
    </row>
    <row r="1859" spans="4:16" x14ac:dyDescent="0.25">
      <c r="D1859" s="2"/>
      <c r="F1859" s="3"/>
      <c r="G1859" s="3"/>
      <c r="H1859" s="3"/>
      <c r="I1859" s="3"/>
      <c r="J1859" s="3"/>
      <c r="K1859" s="3"/>
      <c r="M1859" s="10"/>
      <c r="N1859" s="3"/>
      <c r="O1859" s="3"/>
      <c r="P1859" s="3"/>
    </row>
    <row r="1860" spans="4:16" x14ac:dyDescent="0.25">
      <c r="D1860" s="2"/>
      <c r="F1860" s="3"/>
      <c r="G1860" s="3"/>
      <c r="H1860" s="3"/>
      <c r="I1860" s="3"/>
      <c r="J1860" s="3"/>
      <c r="K1860" s="3"/>
      <c r="M1860" s="10"/>
      <c r="N1860" s="3"/>
      <c r="O1860" s="3"/>
      <c r="P1860" s="3"/>
    </row>
    <row r="1861" spans="4:16" x14ac:dyDescent="0.25">
      <c r="D1861" s="2"/>
      <c r="F1861" s="3"/>
      <c r="G1861" s="3"/>
      <c r="H1861" s="3"/>
      <c r="I1861" s="3"/>
      <c r="J1861" s="3"/>
      <c r="K1861" s="3"/>
      <c r="M1861" s="10"/>
      <c r="N1861" s="3"/>
      <c r="O1861" s="3"/>
      <c r="P1861" s="3"/>
    </row>
    <row r="1862" spans="4:16" x14ac:dyDescent="0.25">
      <c r="D1862" s="2"/>
      <c r="F1862" s="3"/>
      <c r="G1862" s="3"/>
      <c r="H1862" s="3"/>
      <c r="I1862" s="3"/>
      <c r="J1862" s="3"/>
      <c r="K1862" s="3"/>
      <c r="M1862" s="10"/>
      <c r="N1862" s="3"/>
      <c r="O1862" s="3"/>
      <c r="P1862" s="3"/>
    </row>
    <row r="1863" spans="4:16" x14ac:dyDescent="0.25">
      <c r="D1863" s="2"/>
      <c r="F1863" s="3"/>
      <c r="G1863" s="3"/>
      <c r="H1863" s="3"/>
      <c r="I1863" s="3"/>
      <c r="J1863" s="3"/>
      <c r="K1863" s="3"/>
      <c r="M1863" s="10"/>
      <c r="N1863" s="3"/>
      <c r="O1863" s="3"/>
      <c r="P1863" s="3"/>
    </row>
    <row r="1864" spans="4:16" x14ac:dyDescent="0.25">
      <c r="D1864" s="2"/>
      <c r="F1864" s="3"/>
      <c r="G1864" s="3"/>
      <c r="H1864" s="3"/>
      <c r="I1864" s="3"/>
      <c r="J1864" s="3"/>
      <c r="K1864" s="3"/>
      <c r="M1864" s="10"/>
      <c r="N1864" s="3"/>
      <c r="O1864" s="3"/>
      <c r="P1864" s="3"/>
    </row>
    <row r="1865" spans="4:16" x14ac:dyDescent="0.25">
      <c r="D1865" s="2"/>
      <c r="F1865" s="3"/>
      <c r="G1865" s="3"/>
      <c r="H1865" s="3"/>
      <c r="I1865" s="3"/>
      <c r="J1865" s="3"/>
      <c r="K1865" s="3"/>
      <c r="M1865" s="10"/>
      <c r="N1865" s="3"/>
      <c r="O1865" s="3"/>
      <c r="P1865" s="3"/>
    </row>
    <row r="1866" spans="4:16" x14ac:dyDescent="0.25">
      <c r="D1866" s="2"/>
      <c r="F1866" s="3"/>
      <c r="G1866" s="3"/>
      <c r="H1866" s="3"/>
      <c r="I1866" s="3"/>
      <c r="J1866" s="3"/>
      <c r="K1866" s="3"/>
      <c r="M1866" s="10"/>
      <c r="N1866" s="3"/>
      <c r="O1866" s="3"/>
      <c r="P1866" s="3"/>
    </row>
    <row r="1867" spans="4:16" x14ac:dyDescent="0.25">
      <c r="D1867" s="2"/>
      <c r="F1867" s="3"/>
      <c r="G1867" s="3"/>
      <c r="H1867" s="3"/>
      <c r="I1867" s="3"/>
      <c r="J1867" s="3"/>
      <c r="K1867" s="3"/>
      <c r="M1867" s="10"/>
      <c r="N1867" s="3"/>
      <c r="O1867" s="3"/>
      <c r="P1867" s="3"/>
    </row>
    <row r="1868" spans="4:16" x14ac:dyDescent="0.25">
      <c r="D1868" s="2"/>
      <c r="F1868" s="3"/>
      <c r="G1868" s="3"/>
      <c r="H1868" s="3"/>
      <c r="I1868" s="3"/>
      <c r="J1868" s="3"/>
      <c r="K1868" s="3"/>
      <c r="M1868" s="10"/>
      <c r="N1868" s="3"/>
      <c r="O1868" s="3"/>
      <c r="P1868" s="3"/>
    </row>
    <row r="1869" spans="4:16" x14ac:dyDescent="0.25">
      <c r="D1869" s="2"/>
      <c r="F1869" s="3"/>
      <c r="G1869" s="3"/>
      <c r="H1869" s="3"/>
      <c r="I1869" s="3"/>
      <c r="J1869" s="3"/>
      <c r="K1869" s="3"/>
      <c r="M1869" s="10"/>
      <c r="N1869" s="3"/>
      <c r="O1869" s="3"/>
      <c r="P1869" s="3"/>
    </row>
    <row r="1870" spans="4:16" x14ac:dyDescent="0.25">
      <c r="D1870" s="2"/>
      <c r="F1870" s="3"/>
      <c r="G1870" s="3"/>
      <c r="H1870" s="3"/>
      <c r="I1870" s="3"/>
      <c r="J1870" s="3"/>
      <c r="K1870" s="3"/>
      <c r="M1870" s="10"/>
      <c r="N1870" s="3"/>
      <c r="O1870" s="3"/>
      <c r="P1870" s="3"/>
    </row>
    <row r="1871" spans="4:16" x14ac:dyDescent="0.25">
      <c r="D1871" s="2"/>
      <c r="F1871" s="3"/>
      <c r="G1871" s="3"/>
      <c r="H1871" s="3"/>
      <c r="I1871" s="3"/>
      <c r="J1871" s="3"/>
      <c r="K1871" s="3"/>
      <c r="M1871" s="10"/>
      <c r="N1871" s="3"/>
      <c r="O1871" s="3"/>
      <c r="P1871" s="3"/>
    </row>
    <row r="1872" spans="4:16" x14ac:dyDescent="0.25">
      <c r="D1872" s="2"/>
      <c r="F1872" s="3"/>
      <c r="G1872" s="3"/>
      <c r="H1872" s="3"/>
      <c r="I1872" s="3"/>
      <c r="J1872" s="3"/>
      <c r="K1872" s="3"/>
      <c r="M1872" s="10"/>
      <c r="N1872" s="3"/>
      <c r="O1872" s="3"/>
      <c r="P1872" s="3"/>
    </row>
    <row r="1873" spans="4:16" x14ac:dyDescent="0.25">
      <c r="D1873" s="2"/>
      <c r="F1873" s="3"/>
      <c r="G1873" s="3"/>
      <c r="H1873" s="3"/>
      <c r="I1873" s="3"/>
      <c r="J1873" s="3"/>
      <c r="K1873" s="3"/>
      <c r="M1873" s="10"/>
      <c r="N1873" s="3"/>
      <c r="O1873" s="3"/>
      <c r="P1873" s="3"/>
    </row>
    <row r="1874" spans="4:16" x14ac:dyDescent="0.25">
      <c r="D1874" s="2"/>
      <c r="F1874" s="3"/>
      <c r="G1874" s="3"/>
      <c r="H1874" s="3"/>
      <c r="I1874" s="3"/>
      <c r="J1874" s="3"/>
      <c r="K1874" s="3"/>
      <c r="M1874" s="10"/>
      <c r="N1874" s="3"/>
      <c r="O1874" s="3"/>
      <c r="P1874" s="3"/>
    </row>
    <row r="1875" spans="4:16" x14ac:dyDescent="0.25">
      <c r="D1875" s="2"/>
      <c r="F1875" s="3"/>
      <c r="G1875" s="3"/>
      <c r="H1875" s="3"/>
      <c r="I1875" s="3"/>
      <c r="J1875" s="3"/>
      <c r="K1875" s="3"/>
      <c r="M1875" s="10"/>
      <c r="N1875" s="3"/>
      <c r="O1875" s="3"/>
      <c r="P1875" s="3"/>
    </row>
    <row r="1876" spans="4:16" x14ac:dyDescent="0.25">
      <c r="D1876" s="2"/>
      <c r="F1876" s="3"/>
      <c r="G1876" s="3"/>
      <c r="H1876" s="3"/>
      <c r="I1876" s="3"/>
      <c r="J1876" s="3"/>
      <c r="K1876" s="3"/>
      <c r="M1876" s="10"/>
      <c r="N1876" s="3"/>
      <c r="O1876" s="3"/>
      <c r="P1876" s="3"/>
    </row>
    <row r="1877" spans="4:16" x14ac:dyDescent="0.25">
      <c r="D1877" s="2"/>
      <c r="F1877" s="3"/>
      <c r="G1877" s="3"/>
      <c r="H1877" s="3"/>
      <c r="I1877" s="3"/>
      <c r="J1877" s="3"/>
      <c r="K1877" s="3"/>
      <c r="M1877" s="10"/>
      <c r="N1877" s="3"/>
      <c r="O1877" s="3"/>
      <c r="P1877" s="3"/>
    </row>
    <row r="1878" spans="4:16" x14ac:dyDescent="0.25">
      <c r="D1878" s="2"/>
      <c r="F1878" s="3"/>
      <c r="G1878" s="3"/>
      <c r="H1878" s="3"/>
      <c r="I1878" s="3"/>
      <c r="J1878" s="3"/>
      <c r="K1878" s="3"/>
      <c r="M1878" s="10"/>
      <c r="N1878" s="3"/>
      <c r="O1878" s="3"/>
      <c r="P1878" s="3"/>
    </row>
    <row r="1879" spans="4:16" x14ac:dyDescent="0.25">
      <c r="D1879" s="2"/>
      <c r="F1879" s="3"/>
      <c r="G1879" s="3"/>
      <c r="H1879" s="3"/>
      <c r="I1879" s="3"/>
      <c r="J1879" s="3"/>
      <c r="K1879" s="3"/>
      <c r="M1879" s="10"/>
      <c r="N1879" s="3"/>
      <c r="O1879" s="3"/>
      <c r="P1879" s="3"/>
    </row>
    <row r="1880" spans="4:16" x14ac:dyDescent="0.25">
      <c r="D1880" s="2"/>
      <c r="F1880" s="3"/>
      <c r="G1880" s="3"/>
      <c r="H1880" s="3"/>
      <c r="I1880" s="3"/>
      <c r="J1880" s="3"/>
      <c r="K1880" s="3"/>
      <c r="M1880" s="10"/>
      <c r="N1880" s="3"/>
      <c r="O1880" s="3"/>
      <c r="P1880" s="3"/>
    </row>
    <row r="1881" spans="4:16" x14ac:dyDescent="0.25">
      <c r="D1881" s="2"/>
      <c r="F1881" s="3"/>
      <c r="G1881" s="3"/>
      <c r="H1881" s="3"/>
      <c r="I1881" s="3"/>
      <c r="J1881" s="3"/>
      <c r="K1881" s="3"/>
      <c r="M1881" s="10"/>
      <c r="N1881" s="3"/>
      <c r="O1881" s="3"/>
      <c r="P1881" s="3"/>
    </row>
    <row r="1882" spans="4:16" x14ac:dyDescent="0.25">
      <c r="D1882" s="2"/>
      <c r="F1882" s="3"/>
      <c r="G1882" s="3"/>
      <c r="H1882" s="3"/>
      <c r="I1882" s="3"/>
      <c r="J1882" s="3"/>
      <c r="K1882" s="3"/>
      <c r="M1882" s="10"/>
      <c r="N1882" s="3"/>
      <c r="O1882" s="3"/>
      <c r="P1882" s="3"/>
    </row>
    <row r="1883" spans="4:16" x14ac:dyDescent="0.25">
      <c r="D1883" s="2"/>
      <c r="F1883" s="3"/>
      <c r="G1883" s="3"/>
      <c r="H1883" s="3"/>
      <c r="I1883" s="3"/>
      <c r="J1883" s="3"/>
      <c r="K1883" s="3"/>
      <c r="M1883" s="10"/>
      <c r="N1883" s="3"/>
      <c r="O1883" s="3"/>
      <c r="P1883" s="3"/>
    </row>
    <row r="1884" spans="4:16" x14ac:dyDescent="0.25">
      <c r="D1884" s="2"/>
      <c r="F1884" s="3"/>
      <c r="G1884" s="3"/>
      <c r="H1884" s="3"/>
      <c r="I1884" s="3"/>
      <c r="J1884" s="3"/>
      <c r="K1884" s="3"/>
      <c r="M1884" s="10"/>
      <c r="N1884" s="3"/>
      <c r="O1884" s="3"/>
      <c r="P1884" s="3"/>
    </row>
    <row r="1885" spans="4:16" x14ac:dyDescent="0.25">
      <c r="D1885" s="2"/>
      <c r="F1885" s="3"/>
      <c r="G1885" s="3"/>
      <c r="H1885" s="3"/>
      <c r="I1885" s="3"/>
      <c r="J1885" s="3"/>
      <c r="K1885" s="3"/>
      <c r="M1885" s="10"/>
      <c r="N1885" s="3"/>
      <c r="O1885" s="3"/>
      <c r="P1885" s="3"/>
    </row>
    <row r="1886" spans="4:16" x14ac:dyDescent="0.25">
      <c r="D1886" s="2"/>
      <c r="F1886" s="3"/>
      <c r="G1886" s="3"/>
      <c r="H1886" s="3"/>
      <c r="I1886" s="3"/>
      <c r="J1886" s="3"/>
      <c r="K1886" s="3"/>
      <c r="M1886" s="10"/>
      <c r="N1886" s="3"/>
      <c r="O1886" s="3"/>
      <c r="P1886" s="3"/>
    </row>
    <row r="1887" spans="4:16" x14ac:dyDescent="0.25">
      <c r="D1887" s="2"/>
      <c r="F1887" s="3"/>
      <c r="G1887" s="3"/>
      <c r="H1887" s="3"/>
      <c r="I1887" s="3"/>
      <c r="J1887" s="3"/>
      <c r="K1887" s="3"/>
      <c r="M1887" s="10"/>
      <c r="N1887" s="3"/>
      <c r="O1887" s="3"/>
      <c r="P1887" s="3"/>
    </row>
    <row r="1888" spans="4:16" x14ac:dyDescent="0.25">
      <c r="D1888" s="2"/>
      <c r="F1888" s="3"/>
      <c r="G1888" s="3"/>
      <c r="H1888" s="3"/>
      <c r="I1888" s="3"/>
      <c r="J1888" s="3"/>
      <c r="K1888" s="3"/>
      <c r="M1888" s="10"/>
      <c r="N1888" s="3"/>
      <c r="O1888" s="3"/>
      <c r="P1888" s="3"/>
    </row>
    <row r="1889" spans="4:16" x14ac:dyDescent="0.25">
      <c r="D1889" s="2"/>
      <c r="F1889" s="3"/>
      <c r="G1889" s="3"/>
      <c r="H1889" s="3"/>
      <c r="I1889" s="3"/>
      <c r="J1889" s="3"/>
      <c r="K1889" s="3"/>
      <c r="M1889" s="10"/>
      <c r="N1889" s="3"/>
      <c r="O1889" s="3"/>
      <c r="P1889" s="3"/>
    </row>
    <row r="1890" spans="4:16" x14ac:dyDescent="0.25">
      <c r="D1890" s="2"/>
      <c r="F1890" s="3"/>
      <c r="G1890" s="3"/>
      <c r="H1890" s="3"/>
      <c r="I1890" s="3"/>
      <c r="J1890" s="3"/>
      <c r="K1890" s="3"/>
      <c r="M1890" s="10"/>
      <c r="N1890" s="3"/>
      <c r="O1890" s="3"/>
      <c r="P1890" s="3"/>
    </row>
    <row r="1891" spans="4:16" x14ac:dyDescent="0.25">
      <c r="D1891" s="2"/>
      <c r="F1891" s="3"/>
      <c r="G1891" s="3"/>
      <c r="H1891" s="3"/>
      <c r="I1891" s="3"/>
      <c r="J1891" s="3"/>
      <c r="K1891" s="3"/>
      <c r="M1891" s="10"/>
      <c r="N1891" s="3"/>
      <c r="O1891" s="3"/>
      <c r="P1891" s="3"/>
    </row>
    <row r="1892" spans="4:16" x14ac:dyDescent="0.25">
      <c r="D1892" s="2"/>
      <c r="F1892" s="3"/>
      <c r="G1892" s="3"/>
      <c r="H1892" s="3"/>
      <c r="I1892" s="3"/>
      <c r="J1892" s="3"/>
      <c r="K1892" s="3"/>
      <c r="M1892" s="10"/>
      <c r="N1892" s="3"/>
      <c r="O1892" s="3"/>
      <c r="P1892" s="3"/>
    </row>
    <row r="1893" spans="4:16" x14ac:dyDescent="0.25">
      <c r="D1893" s="2"/>
      <c r="F1893" s="3"/>
      <c r="G1893" s="3"/>
      <c r="H1893" s="3"/>
      <c r="I1893" s="3"/>
      <c r="J1893" s="3"/>
      <c r="K1893" s="3"/>
      <c r="M1893" s="10"/>
      <c r="N1893" s="3"/>
      <c r="O1893" s="3"/>
      <c r="P1893" s="3"/>
    </row>
    <row r="1894" spans="4:16" x14ac:dyDescent="0.25">
      <c r="D1894" s="2"/>
      <c r="F1894" s="3"/>
      <c r="G1894" s="3"/>
      <c r="H1894" s="3"/>
      <c r="I1894" s="3"/>
      <c r="J1894" s="3"/>
      <c r="K1894" s="3"/>
      <c r="M1894" s="10"/>
      <c r="N1894" s="3"/>
      <c r="O1894" s="3"/>
      <c r="P1894" s="3"/>
    </row>
    <row r="1895" spans="4:16" x14ac:dyDescent="0.25">
      <c r="D1895" s="2"/>
      <c r="F1895" s="3"/>
      <c r="G1895" s="3"/>
      <c r="H1895" s="3"/>
      <c r="I1895" s="3"/>
      <c r="J1895" s="3"/>
      <c r="K1895" s="3"/>
      <c r="M1895" s="10"/>
      <c r="N1895" s="3"/>
      <c r="O1895" s="3"/>
      <c r="P1895" s="3"/>
    </row>
    <row r="1896" spans="4:16" x14ac:dyDescent="0.25">
      <c r="D1896" s="2"/>
      <c r="F1896" s="3"/>
      <c r="G1896" s="3"/>
      <c r="H1896" s="3"/>
      <c r="I1896" s="3"/>
      <c r="J1896" s="3"/>
      <c r="K1896" s="3"/>
      <c r="M1896" s="10"/>
      <c r="N1896" s="3"/>
      <c r="O1896" s="3"/>
      <c r="P1896" s="3"/>
    </row>
    <row r="1897" spans="4:16" x14ac:dyDescent="0.25">
      <c r="D1897" s="2"/>
      <c r="F1897" s="3"/>
      <c r="G1897" s="3"/>
      <c r="H1897" s="3"/>
      <c r="I1897" s="3"/>
      <c r="J1897" s="3"/>
      <c r="K1897" s="3"/>
      <c r="M1897" s="10"/>
      <c r="N1897" s="3"/>
      <c r="O1897" s="3"/>
      <c r="P1897" s="3"/>
    </row>
    <row r="1898" spans="4:16" x14ac:dyDescent="0.25">
      <c r="D1898" s="2"/>
      <c r="F1898" s="3"/>
      <c r="G1898" s="3"/>
      <c r="H1898" s="3"/>
      <c r="I1898" s="3"/>
      <c r="J1898" s="3"/>
      <c r="K1898" s="3"/>
      <c r="M1898" s="10"/>
      <c r="N1898" s="3"/>
      <c r="O1898" s="3"/>
      <c r="P1898" s="3"/>
    </row>
    <row r="1899" spans="4:16" x14ac:dyDescent="0.25">
      <c r="D1899" s="2"/>
      <c r="F1899" s="3"/>
      <c r="G1899" s="3"/>
      <c r="H1899" s="3"/>
      <c r="I1899" s="3"/>
      <c r="J1899" s="3"/>
      <c r="K1899" s="3"/>
      <c r="M1899" s="10"/>
      <c r="N1899" s="3"/>
      <c r="O1899" s="3"/>
      <c r="P1899" s="3"/>
    </row>
    <row r="1900" spans="4:16" x14ac:dyDescent="0.25">
      <c r="D1900" s="2"/>
      <c r="F1900" s="3"/>
      <c r="G1900" s="3"/>
      <c r="H1900" s="3"/>
      <c r="I1900" s="3"/>
      <c r="J1900" s="3"/>
      <c r="K1900" s="3"/>
      <c r="M1900" s="10"/>
      <c r="N1900" s="3"/>
      <c r="O1900" s="3"/>
      <c r="P1900" s="3"/>
    </row>
    <row r="1901" spans="4:16" x14ac:dyDescent="0.25">
      <c r="D1901" s="2"/>
      <c r="F1901" s="3"/>
      <c r="G1901" s="3"/>
      <c r="H1901" s="3"/>
      <c r="I1901" s="3"/>
      <c r="J1901" s="3"/>
      <c r="K1901" s="3"/>
      <c r="M1901" s="10"/>
      <c r="N1901" s="3"/>
      <c r="O1901" s="3"/>
      <c r="P1901" s="3"/>
    </row>
    <row r="1902" spans="4:16" x14ac:dyDescent="0.25">
      <c r="D1902" s="2"/>
      <c r="F1902" s="3"/>
      <c r="G1902" s="3"/>
      <c r="H1902" s="3"/>
      <c r="I1902" s="3"/>
      <c r="J1902" s="3"/>
      <c r="K1902" s="3"/>
      <c r="M1902" s="10"/>
      <c r="N1902" s="3"/>
      <c r="O1902" s="3"/>
      <c r="P1902" s="3"/>
    </row>
    <row r="1903" spans="4:16" x14ac:dyDescent="0.25">
      <c r="D1903" s="2"/>
      <c r="F1903" s="3"/>
      <c r="G1903" s="3"/>
      <c r="H1903" s="3"/>
      <c r="I1903" s="3"/>
      <c r="J1903" s="3"/>
      <c r="K1903" s="3"/>
      <c r="M1903" s="10"/>
      <c r="N1903" s="3"/>
      <c r="O1903" s="3"/>
      <c r="P1903" s="3"/>
    </row>
    <row r="1904" spans="4:16" x14ac:dyDescent="0.25">
      <c r="D1904" s="2"/>
      <c r="F1904" s="3"/>
      <c r="G1904" s="3"/>
      <c r="H1904" s="3"/>
      <c r="I1904" s="3"/>
      <c r="J1904" s="3"/>
      <c r="K1904" s="3"/>
      <c r="M1904" s="10"/>
      <c r="N1904" s="3"/>
      <c r="O1904" s="3"/>
      <c r="P1904" s="3"/>
    </row>
    <row r="1905" spans="4:16" x14ac:dyDescent="0.25">
      <c r="D1905" s="2"/>
      <c r="F1905" s="3"/>
      <c r="G1905" s="3"/>
      <c r="H1905" s="3"/>
      <c r="I1905" s="3"/>
      <c r="J1905" s="3"/>
      <c r="K1905" s="3"/>
      <c r="M1905" s="10"/>
      <c r="N1905" s="3"/>
      <c r="O1905" s="3"/>
      <c r="P1905" s="3"/>
    </row>
    <row r="1906" spans="4:16" x14ac:dyDescent="0.25">
      <c r="D1906" s="2"/>
      <c r="F1906" s="3"/>
      <c r="G1906" s="3"/>
      <c r="H1906" s="3"/>
      <c r="I1906" s="3"/>
      <c r="J1906" s="3"/>
      <c r="K1906" s="3"/>
      <c r="M1906" s="10"/>
      <c r="N1906" s="3"/>
      <c r="O1906" s="3"/>
      <c r="P1906" s="3"/>
    </row>
    <row r="1907" spans="4:16" x14ac:dyDescent="0.25">
      <c r="D1907" s="2"/>
      <c r="F1907" s="3"/>
      <c r="G1907" s="3"/>
      <c r="H1907" s="3"/>
      <c r="I1907" s="3"/>
      <c r="J1907" s="3"/>
      <c r="K1907" s="3"/>
      <c r="M1907" s="10"/>
      <c r="N1907" s="3"/>
      <c r="O1907" s="3"/>
      <c r="P1907" s="3"/>
    </row>
    <row r="1908" spans="4:16" x14ac:dyDescent="0.25">
      <c r="D1908" s="2"/>
      <c r="F1908" s="3"/>
      <c r="G1908" s="3"/>
      <c r="H1908" s="3"/>
      <c r="I1908" s="3"/>
      <c r="J1908" s="3"/>
      <c r="K1908" s="3"/>
      <c r="M1908" s="10"/>
      <c r="N1908" s="3"/>
      <c r="O1908" s="3"/>
      <c r="P1908" s="3"/>
    </row>
    <row r="1909" spans="4:16" x14ac:dyDescent="0.25">
      <c r="D1909" s="2"/>
      <c r="F1909" s="3"/>
      <c r="G1909" s="3"/>
      <c r="H1909" s="3"/>
      <c r="I1909" s="3"/>
      <c r="J1909" s="3"/>
      <c r="K1909" s="3"/>
      <c r="M1909" s="10"/>
      <c r="N1909" s="3"/>
      <c r="O1909" s="3"/>
      <c r="P1909" s="3"/>
    </row>
    <row r="1910" spans="4:16" x14ac:dyDescent="0.25">
      <c r="D1910" s="2"/>
      <c r="F1910" s="3"/>
      <c r="G1910" s="3"/>
      <c r="H1910" s="3"/>
      <c r="I1910" s="3"/>
      <c r="J1910" s="3"/>
      <c r="K1910" s="3"/>
      <c r="M1910" s="10"/>
      <c r="N1910" s="3"/>
      <c r="O1910" s="3"/>
      <c r="P1910" s="3"/>
    </row>
    <row r="1911" spans="4:16" x14ac:dyDescent="0.25">
      <c r="D1911" s="2"/>
      <c r="F1911" s="3"/>
      <c r="G1911" s="3"/>
      <c r="H1911" s="3"/>
      <c r="I1911" s="3"/>
      <c r="J1911" s="3"/>
      <c r="K1911" s="3"/>
      <c r="M1911" s="10"/>
      <c r="N1911" s="3"/>
      <c r="O1911" s="3"/>
      <c r="P1911" s="3"/>
    </row>
    <row r="1912" spans="4:16" x14ac:dyDescent="0.25">
      <c r="D1912" s="2"/>
      <c r="F1912" s="3"/>
      <c r="G1912" s="3"/>
      <c r="H1912" s="3"/>
      <c r="I1912" s="3"/>
      <c r="J1912" s="3"/>
      <c r="K1912" s="3"/>
      <c r="M1912" s="10"/>
      <c r="N1912" s="3"/>
      <c r="O1912" s="3"/>
      <c r="P1912" s="3"/>
    </row>
    <row r="1913" spans="4:16" x14ac:dyDescent="0.25">
      <c r="D1913" s="2"/>
      <c r="F1913" s="3"/>
      <c r="G1913" s="3"/>
      <c r="H1913" s="3"/>
      <c r="I1913" s="3"/>
      <c r="J1913" s="3"/>
      <c r="K1913" s="3"/>
      <c r="M1913" s="10"/>
      <c r="N1913" s="3"/>
      <c r="O1913" s="3"/>
      <c r="P1913" s="3"/>
    </row>
    <row r="1914" spans="4:16" x14ac:dyDescent="0.25">
      <c r="D1914" s="2"/>
      <c r="F1914" s="3"/>
      <c r="G1914" s="3"/>
      <c r="H1914" s="3"/>
      <c r="I1914" s="3"/>
      <c r="J1914" s="3"/>
      <c r="K1914" s="3"/>
      <c r="M1914" s="10"/>
      <c r="N1914" s="3"/>
      <c r="O1914" s="3"/>
      <c r="P1914" s="3"/>
    </row>
    <row r="1915" spans="4:16" x14ac:dyDescent="0.25">
      <c r="D1915" s="2"/>
      <c r="F1915" s="3"/>
      <c r="G1915" s="3"/>
      <c r="H1915" s="3"/>
      <c r="I1915" s="3"/>
      <c r="J1915" s="3"/>
      <c r="K1915" s="3"/>
      <c r="M1915" s="10"/>
      <c r="N1915" s="3"/>
      <c r="O1915" s="3"/>
      <c r="P1915" s="3"/>
    </row>
    <row r="1916" spans="4:16" x14ac:dyDescent="0.25">
      <c r="D1916" s="2"/>
      <c r="F1916" s="3"/>
      <c r="G1916" s="3"/>
      <c r="H1916" s="3"/>
      <c r="I1916" s="3"/>
      <c r="J1916" s="3"/>
      <c r="K1916" s="3"/>
      <c r="M1916" s="10"/>
      <c r="N1916" s="3"/>
      <c r="O1916" s="3"/>
      <c r="P1916" s="3"/>
    </row>
    <row r="1917" spans="4:16" x14ac:dyDescent="0.25">
      <c r="D1917" s="2"/>
      <c r="F1917" s="3"/>
      <c r="G1917" s="3"/>
      <c r="H1917" s="3"/>
      <c r="I1917" s="3"/>
      <c r="J1917" s="3"/>
      <c r="K1917" s="3"/>
      <c r="M1917" s="10"/>
      <c r="N1917" s="3"/>
      <c r="O1917" s="3"/>
      <c r="P1917" s="3"/>
    </row>
    <row r="1918" spans="4:16" x14ac:dyDescent="0.25">
      <c r="D1918" s="2"/>
      <c r="F1918" s="3"/>
      <c r="G1918" s="3"/>
      <c r="H1918" s="3"/>
      <c r="I1918" s="3"/>
      <c r="J1918" s="3"/>
      <c r="K1918" s="3"/>
      <c r="M1918" s="10"/>
      <c r="N1918" s="3"/>
      <c r="O1918" s="3"/>
      <c r="P1918" s="3"/>
    </row>
    <row r="1919" spans="4:16" x14ac:dyDescent="0.25">
      <c r="D1919" s="2"/>
      <c r="F1919" s="3"/>
      <c r="G1919" s="3"/>
      <c r="H1919" s="3"/>
      <c r="I1919" s="3"/>
      <c r="J1919" s="3"/>
      <c r="K1919" s="3"/>
      <c r="M1919" s="10"/>
      <c r="N1919" s="3"/>
      <c r="O1919" s="3"/>
      <c r="P1919" s="3"/>
    </row>
    <row r="1920" spans="4:16" x14ac:dyDescent="0.25">
      <c r="D1920" s="2"/>
      <c r="F1920" s="3"/>
      <c r="G1920" s="3"/>
      <c r="H1920" s="3"/>
      <c r="I1920" s="3"/>
      <c r="J1920" s="3"/>
      <c r="K1920" s="3"/>
      <c r="M1920" s="10"/>
      <c r="N1920" s="3"/>
      <c r="O1920" s="3"/>
      <c r="P1920" s="3"/>
    </row>
    <row r="1921" spans="4:16" x14ac:dyDescent="0.25">
      <c r="D1921" s="2"/>
      <c r="F1921" s="3"/>
      <c r="G1921" s="3"/>
      <c r="H1921" s="3"/>
      <c r="I1921" s="3"/>
      <c r="J1921" s="3"/>
      <c r="K1921" s="3"/>
      <c r="M1921" s="10"/>
      <c r="N1921" s="3"/>
      <c r="O1921" s="3"/>
      <c r="P1921" s="3"/>
    </row>
    <row r="1922" spans="4:16" x14ac:dyDescent="0.25">
      <c r="D1922" s="2"/>
      <c r="F1922" s="3"/>
      <c r="G1922" s="3"/>
      <c r="H1922" s="3"/>
      <c r="I1922" s="3"/>
      <c r="J1922" s="3"/>
      <c r="K1922" s="3"/>
      <c r="M1922" s="10"/>
      <c r="N1922" s="3"/>
      <c r="O1922" s="3"/>
      <c r="P1922" s="3"/>
    </row>
    <row r="1923" spans="4:16" x14ac:dyDescent="0.25">
      <c r="D1923" s="2"/>
      <c r="F1923" s="3"/>
      <c r="G1923" s="3"/>
      <c r="H1923" s="3"/>
      <c r="I1923" s="3"/>
      <c r="J1923" s="3"/>
      <c r="K1923" s="3"/>
      <c r="M1923" s="10"/>
      <c r="N1923" s="3"/>
      <c r="O1923" s="3"/>
      <c r="P1923" s="3"/>
    </row>
    <row r="1924" spans="4:16" x14ac:dyDescent="0.25">
      <c r="D1924" s="2"/>
      <c r="F1924" s="3"/>
      <c r="G1924" s="3"/>
      <c r="H1924" s="3"/>
      <c r="I1924" s="3"/>
      <c r="J1924" s="3"/>
      <c r="K1924" s="3"/>
      <c r="M1924" s="10"/>
      <c r="N1924" s="3"/>
      <c r="O1924" s="3"/>
      <c r="P1924" s="3"/>
    </row>
    <row r="1925" spans="4:16" x14ac:dyDescent="0.25">
      <c r="D1925" s="2"/>
      <c r="F1925" s="3"/>
      <c r="G1925" s="3"/>
      <c r="H1925" s="3"/>
      <c r="I1925" s="3"/>
      <c r="J1925" s="3"/>
      <c r="K1925" s="3"/>
      <c r="M1925" s="10"/>
      <c r="N1925" s="3"/>
      <c r="O1925" s="3"/>
      <c r="P1925" s="3"/>
    </row>
    <row r="1926" spans="4:16" x14ac:dyDescent="0.25">
      <c r="D1926" s="2"/>
      <c r="F1926" s="3"/>
      <c r="G1926" s="3"/>
      <c r="H1926" s="3"/>
      <c r="I1926" s="3"/>
      <c r="J1926" s="3"/>
      <c r="K1926" s="3"/>
      <c r="M1926" s="10"/>
      <c r="N1926" s="3"/>
      <c r="O1926" s="3"/>
      <c r="P1926" s="3"/>
    </row>
    <row r="1927" spans="4:16" x14ac:dyDescent="0.25">
      <c r="D1927" s="2"/>
      <c r="F1927" s="3"/>
      <c r="G1927" s="3"/>
      <c r="H1927" s="3"/>
      <c r="I1927" s="3"/>
      <c r="J1927" s="3"/>
      <c r="K1927" s="3"/>
      <c r="M1927" s="10"/>
      <c r="N1927" s="3"/>
      <c r="O1927" s="3"/>
      <c r="P1927" s="3"/>
    </row>
    <row r="1928" spans="4:16" x14ac:dyDescent="0.25">
      <c r="D1928" s="2"/>
      <c r="F1928" s="3"/>
      <c r="G1928" s="3"/>
      <c r="H1928" s="3"/>
      <c r="I1928" s="3"/>
      <c r="J1928" s="3"/>
      <c r="K1928" s="3"/>
      <c r="M1928" s="10"/>
      <c r="N1928" s="3"/>
      <c r="O1928" s="3"/>
      <c r="P1928" s="3"/>
    </row>
    <row r="1929" spans="4:16" x14ac:dyDescent="0.25">
      <c r="D1929" s="2"/>
      <c r="F1929" s="3"/>
      <c r="G1929" s="3"/>
      <c r="H1929" s="3"/>
      <c r="I1929" s="3"/>
      <c r="J1929" s="3"/>
      <c r="K1929" s="3"/>
      <c r="M1929" s="10"/>
      <c r="N1929" s="3"/>
      <c r="O1929" s="3"/>
      <c r="P1929" s="3"/>
    </row>
    <row r="1930" spans="4:16" x14ac:dyDescent="0.25">
      <c r="D1930" s="2"/>
      <c r="F1930" s="3"/>
      <c r="G1930" s="3"/>
      <c r="H1930" s="3"/>
      <c r="I1930" s="3"/>
      <c r="J1930" s="3"/>
      <c r="K1930" s="3"/>
      <c r="M1930" s="10"/>
      <c r="N1930" s="3"/>
      <c r="O1930" s="3"/>
      <c r="P1930" s="3"/>
    </row>
    <row r="1931" spans="4:16" x14ac:dyDescent="0.25">
      <c r="D1931" s="2"/>
      <c r="F1931" s="3"/>
      <c r="G1931" s="3"/>
      <c r="H1931" s="3"/>
      <c r="I1931" s="3"/>
      <c r="J1931" s="3"/>
      <c r="K1931" s="3"/>
      <c r="M1931" s="10"/>
      <c r="N1931" s="3"/>
      <c r="O1931" s="3"/>
      <c r="P1931" s="3"/>
    </row>
    <row r="1932" spans="4:16" x14ac:dyDescent="0.25">
      <c r="D1932" s="2"/>
      <c r="F1932" s="3"/>
      <c r="G1932" s="3"/>
      <c r="H1932" s="3"/>
      <c r="I1932" s="3"/>
      <c r="J1932" s="3"/>
      <c r="K1932" s="3"/>
      <c r="M1932" s="10"/>
      <c r="N1932" s="3"/>
      <c r="O1932" s="3"/>
      <c r="P1932" s="3"/>
    </row>
    <row r="1933" spans="4:16" x14ac:dyDescent="0.25">
      <c r="D1933" s="2"/>
      <c r="F1933" s="3"/>
      <c r="G1933" s="3"/>
      <c r="H1933" s="3"/>
      <c r="I1933" s="3"/>
      <c r="J1933" s="3"/>
      <c r="K1933" s="3"/>
      <c r="M1933" s="10"/>
      <c r="N1933" s="3"/>
      <c r="O1933" s="3"/>
      <c r="P1933" s="3"/>
    </row>
    <row r="1934" spans="4:16" x14ac:dyDescent="0.25">
      <c r="D1934" s="2"/>
      <c r="F1934" s="3"/>
      <c r="G1934" s="3"/>
      <c r="H1934" s="3"/>
      <c r="I1934" s="3"/>
      <c r="J1934" s="3"/>
      <c r="K1934" s="3"/>
      <c r="M1934" s="10"/>
      <c r="N1934" s="3"/>
      <c r="O1934" s="3"/>
      <c r="P1934" s="3"/>
    </row>
    <row r="1935" spans="4:16" x14ac:dyDescent="0.25">
      <c r="D1935" s="2"/>
      <c r="F1935" s="3"/>
      <c r="G1935" s="3"/>
      <c r="H1935" s="3"/>
      <c r="I1935" s="3"/>
      <c r="J1935" s="3"/>
      <c r="K1935" s="3"/>
      <c r="M1935" s="10"/>
      <c r="N1935" s="3"/>
      <c r="O1935" s="3"/>
      <c r="P1935" s="3"/>
    </row>
    <row r="1936" spans="4:16" x14ac:dyDescent="0.25">
      <c r="D1936" s="2"/>
      <c r="F1936" s="3"/>
      <c r="G1936" s="3"/>
      <c r="H1936" s="3"/>
      <c r="I1936" s="3"/>
      <c r="J1936" s="3"/>
      <c r="K1936" s="3"/>
      <c r="M1936" s="10"/>
      <c r="N1936" s="3"/>
      <c r="O1936" s="3"/>
      <c r="P1936" s="3"/>
    </row>
    <row r="1937" spans="4:16" x14ac:dyDescent="0.25">
      <c r="D1937" s="2"/>
      <c r="F1937" s="3"/>
      <c r="G1937" s="3"/>
      <c r="H1937" s="3"/>
      <c r="I1937" s="3"/>
      <c r="J1937" s="3"/>
      <c r="K1937" s="3"/>
      <c r="M1937" s="10"/>
      <c r="N1937" s="3"/>
      <c r="O1937" s="3"/>
      <c r="P1937" s="3"/>
    </row>
    <row r="1938" spans="4:16" x14ac:dyDescent="0.25">
      <c r="D1938" s="2"/>
      <c r="F1938" s="3"/>
      <c r="G1938" s="3"/>
      <c r="H1938" s="3"/>
      <c r="I1938" s="3"/>
      <c r="J1938" s="3"/>
      <c r="K1938" s="3"/>
      <c r="M1938" s="10"/>
      <c r="N1938" s="3"/>
      <c r="O1938" s="3"/>
      <c r="P1938" s="3"/>
    </row>
    <row r="1939" spans="4:16" x14ac:dyDescent="0.25">
      <c r="D1939" s="2"/>
      <c r="F1939" s="3"/>
      <c r="G1939" s="3"/>
      <c r="H1939" s="3"/>
      <c r="I1939" s="3"/>
      <c r="J1939" s="3"/>
      <c r="K1939" s="3"/>
      <c r="M1939" s="10"/>
      <c r="N1939" s="3"/>
      <c r="O1939" s="3"/>
      <c r="P1939" s="3"/>
    </row>
    <row r="1940" spans="4:16" x14ac:dyDescent="0.25">
      <c r="D1940" s="2"/>
      <c r="F1940" s="3"/>
      <c r="G1940" s="3"/>
      <c r="H1940" s="3"/>
      <c r="I1940" s="3"/>
      <c r="J1940" s="3"/>
      <c r="K1940" s="3"/>
      <c r="M1940" s="10"/>
      <c r="N1940" s="3"/>
      <c r="O1940" s="3"/>
      <c r="P1940" s="3"/>
    </row>
    <row r="1941" spans="4:16" x14ac:dyDescent="0.25">
      <c r="D1941" s="2"/>
      <c r="F1941" s="3"/>
      <c r="G1941" s="3"/>
      <c r="H1941" s="3"/>
      <c r="I1941" s="3"/>
      <c r="J1941" s="3"/>
      <c r="K1941" s="3"/>
      <c r="M1941" s="10"/>
      <c r="N1941" s="3"/>
      <c r="O1941" s="3"/>
      <c r="P1941" s="3"/>
    </row>
    <row r="1942" spans="4:16" x14ac:dyDescent="0.25">
      <c r="D1942" s="2"/>
      <c r="F1942" s="3"/>
      <c r="G1942" s="3"/>
      <c r="H1942" s="3"/>
      <c r="I1942" s="3"/>
      <c r="J1942" s="3"/>
      <c r="K1942" s="3"/>
      <c r="M1942" s="10"/>
      <c r="N1942" s="3"/>
      <c r="O1942" s="3"/>
      <c r="P1942" s="3"/>
    </row>
    <row r="1943" spans="4:16" x14ac:dyDescent="0.25">
      <c r="D1943" s="2"/>
      <c r="F1943" s="3"/>
      <c r="G1943" s="3"/>
      <c r="H1943" s="3"/>
      <c r="I1943" s="3"/>
      <c r="J1943" s="3"/>
      <c r="K1943" s="3"/>
      <c r="M1943" s="10"/>
      <c r="N1943" s="3"/>
      <c r="O1943" s="3"/>
      <c r="P1943" s="3"/>
    </row>
    <row r="1944" spans="4:16" x14ac:dyDescent="0.25">
      <c r="D1944" s="2"/>
      <c r="F1944" s="3"/>
      <c r="G1944" s="3"/>
      <c r="H1944" s="3"/>
      <c r="I1944" s="3"/>
      <c r="J1944" s="3"/>
      <c r="K1944" s="3"/>
      <c r="M1944" s="10"/>
      <c r="N1944" s="3"/>
      <c r="O1944" s="3"/>
      <c r="P1944" s="3"/>
    </row>
    <row r="1945" spans="4:16" x14ac:dyDescent="0.25">
      <c r="D1945" s="2"/>
      <c r="F1945" s="3"/>
      <c r="G1945" s="3"/>
      <c r="H1945" s="3"/>
      <c r="I1945" s="3"/>
      <c r="J1945" s="3"/>
      <c r="K1945" s="3"/>
      <c r="M1945" s="10"/>
      <c r="N1945" s="3"/>
      <c r="O1945" s="3"/>
      <c r="P1945" s="3"/>
    </row>
    <row r="1946" spans="4:16" x14ac:dyDescent="0.25">
      <c r="D1946" s="2"/>
      <c r="F1946" s="3"/>
      <c r="G1946" s="3"/>
      <c r="H1946" s="3"/>
      <c r="I1946" s="3"/>
      <c r="J1946" s="3"/>
      <c r="K1946" s="3"/>
      <c r="M1946" s="10"/>
      <c r="N1946" s="3"/>
      <c r="O1946" s="3"/>
      <c r="P1946" s="3"/>
    </row>
    <row r="1947" spans="4:16" x14ac:dyDescent="0.25">
      <c r="D1947" s="2"/>
      <c r="F1947" s="3"/>
      <c r="G1947" s="3"/>
      <c r="H1947" s="3"/>
      <c r="I1947" s="3"/>
      <c r="J1947" s="3"/>
      <c r="K1947" s="3"/>
      <c r="M1947" s="10"/>
      <c r="N1947" s="3"/>
      <c r="O1947" s="3"/>
      <c r="P1947" s="3"/>
    </row>
    <row r="1948" spans="4:16" x14ac:dyDescent="0.25">
      <c r="D1948" s="2"/>
      <c r="F1948" s="3"/>
      <c r="G1948" s="3"/>
      <c r="H1948" s="3"/>
      <c r="I1948" s="3"/>
      <c r="J1948" s="3"/>
      <c r="K1948" s="3"/>
      <c r="M1948" s="10"/>
      <c r="N1948" s="3"/>
      <c r="O1948" s="3"/>
      <c r="P1948" s="3"/>
    </row>
    <row r="1949" spans="4:16" x14ac:dyDescent="0.25">
      <c r="D1949" s="2"/>
      <c r="F1949" s="3"/>
      <c r="G1949" s="3"/>
      <c r="H1949" s="3"/>
      <c r="I1949" s="3"/>
      <c r="J1949" s="3"/>
      <c r="K1949" s="3"/>
      <c r="M1949" s="10"/>
      <c r="N1949" s="3"/>
      <c r="O1949" s="3"/>
      <c r="P1949" s="3"/>
    </row>
    <row r="1950" spans="4:16" x14ac:dyDescent="0.25">
      <c r="D1950" s="2"/>
      <c r="F1950" s="3"/>
      <c r="G1950" s="3"/>
      <c r="H1950" s="3"/>
      <c r="I1950" s="3"/>
      <c r="J1950" s="3"/>
      <c r="K1950" s="3"/>
      <c r="M1950" s="10"/>
      <c r="N1950" s="3"/>
      <c r="O1950" s="3"/>
      <c r="P1950" s="3"/>
    </row>
    <row r="1951" spans="4:16" x14ac:dyDescent="0.25">
      <c r="D1951" s="2"/>
      <c r="F1951" s="3"/>
      <c r="G1951" s="3"/>
      <c r="H1951" s="3"/>
      <c r="I1951" s="3"/>
      <c r="J1951" s="3"/>
      <c r="K1951" s="3"/>
      <c r="M1951" s="10"/>
      <c r="N1951" s="3"/>
      <c r="O1951" s="3"/>
      <c r="P1951" s="3"/>
    </row>
    <row r="1952" spans="4:16" x14ac:dyDescent="0.25">
      <c r="D1952" s="2"/>
      <c r="F1952" s="3"/>
      <c r="G1952" s="3"/>
      <c r="H1952" s="3"/>
      <c r="I1952" s="3"/>
      <c r="J1952" s="3"/>
      <c r="K1952" s="3"/>
      <c r="M1952" s="10"/>
      <c r="N1952" s="3"/>
      <c r="O1952" s="3"/>
      <c r="P1952" s="3"/>
    </row>
    <row r="1953" spans="4:16" x14ac:dyDescent="0.25">
      <c r="D1953" s="2"/>
      <c r="F1953" s="3"/>
      <c r="G1953" s="3"/>
      <c r="H1953" s="3"/>
      <c r="I1953" s="3"/>
      <c r="J1953" s="3"/>
      <c r="K1953" s="3"/>
      <c r="M1953" s="10"/>
      <c r="N1953" s="3"/>
      <c r="O1953" s="3"/>
      <c r="P1953" s="3"/>
    </row>
    <row r="1954" spans="4:16" x14ac:dyDescent="0.25">
      <c r="D1954" s="2"/>
      <c r="F1954" s="3"/>
      <c r="G1954" s="3"/>
      <c r="H1954" s="3"/>
      <c r="I1954" s="3"/>
      <c r="J1954" s="3"/>
      <c r="K1954" s="3"/>
      <c r="M1954" s="10"/>
      <c r="N1954" s="3"/>
      <c r="O1954" s="3"/>
      <c r="P1954" s="3"/>
    </row>
    <row r="1955" spans="4:16" x14ac:dyDescent="0.25">
      <c r="D1955" s="2"/>
      <c r="F1955" s="3"/>
      <c r="G1955" s="3"/>
      <c r="H1955" s="3"/>
      <c r="I1955" s="3"/>
      <c r="J1955" s="3"/>
      <c r="K1955" s="3"/>
      <c r="M1955" s="10"/>
      <c r="N1955" s="3"/>
      <c r="O1955" s="3"/>
      <c r="P1955" s="3"/>
    </row>
    <row r="1956" spans="4:16" x14ac:dyDescent="0.25">
      <c r="D1956" s="2"/>
      <c r="F1956" s="3"/>
      <c r="G1956" s="3"/>
      <c r="H1956" s="3"/>
      <c r="I1956" s="3"/>
      <c r="J1956" s="3"/>
      <c r="K1956" s="3"/>
      <c r="M1956" s="10"/>
      <c r="N1956" s="3"/>
      <c r="O1956" s="3"/>
      <c r="P1956" s="3"/>
    </row>
    <row r="1957" spans="4:16" x14ac:dyDescent="0.25">
      <c r="D1957" s="2"/>
      <c r="F1957" s="3"/>
      <c r="G1957" s="3"/>
      <c r="H1957" s="3"/>
      <c r="I1957" s="3"/>
      <c r="J1957" s="3"/>
      <c r="K1957" s="3"/>
      <c r="M1957" s="10"/>
      <c r="N1957" s="3"/>
      <c r="O1957" s="3"/>
      <c r="P1957" s="3"/>
    </row>
    <row r="1958" spans="4:16" x14ac:dyDescent="0.25">
      <c r="D1958" s="2"/>
      <c r="F1958" s="3"/>
      <c r="G1958" s="3"/>
      <c r="H1958" s="3"/>
      <c r="I1958" s="3"/>
      <c r="J1958" s="3"/>
      <c r="K1958" s="3"/>
      <c r="M1958" s="10"/>
      <c r="N1958" s="3"/>
      <c r="O1958" s="3"/>
      <c r="P1958" s="3"/>
    </row>
    <row r="1959" spans="4:16" x14ac:dyDescent="0.25">
      <c r="D1959" s="2"/>
      <c r="F1959" s="3"/>
      <c r="G1959" s="3"/>
      <c r="H1959" s="3"/>
      <c r="I1959" s="3"/>
      <c r="J1959" s="3"/>
      <c r="K1959" s="3"/>
      <c r="M1959" s="10"/>
      <c r="N1959" s="3"/>
      <c r="O1959" s="3"/>
      <c r="P1959" s="3"/>
    </row>
    <row r="1960" spans="4:16" x14ac:dyDescent="0.25">
      <c r="D1960" s="2"/>
      <c r="F1960" s="3"/>
      <c r="G1960" s="3"/>
      <c r="H1960" s="3"/>
      <c r="I1960" s="3"/>
      <c r="J1960" s="3"/>
      <c r="K1960" s="3"/>
      <c r="M1960" s="10"/>
      <c r="N1960" s="3"/>
      <c r="O1960" s="3"/>
      <c r="P1960" s="3"/>
    </row>
    <row r="1961" spans="4:16" x14ac:dyDescent="0.25">
      <c r="D1961" s="2"/>
      <c r="F1961" s="3"/>
      <c r="G1961" s="3"/>
      <c r="H1961" s="3"/>
      <c r="I1961" s="3"/>
      <c r="J1961" s="3"/>
      <c r="K1961" s="3"/>
      <c r="M1961" s="10"/>
      <c r="N1961" s="3"/>
      <c r="O1961" s="3"/>
      <c r="P1961" s="3"/>
    </row>
    <row r="1962" spans="4:16" x14ac:dyDescent="0.25">
      <c r="D1962" s="2"/>
      <c r="F1962" s="3"/>
      <c r="G1962" s="3"/>
      <c r="H1962" s="3"/>
      <c r="I1962" s="3"/>
      <c r="J1962" s="3"/>
      <c r="K1962" s="3"/>
      <c r="M1962" s="10"/>
      <c r="N1962" s="3"/>
      <c r="O1962" s="3"/>
      <c r="P1962" s="3"/>
    </row>
    <row r="1963" spans="4:16" x14ac:dyDescent="0.25">
      <c r="D1963" s="2"/>
      <c r="F1963" s="3"/>
      <c r="G1963" s="3"/>
      <c r="H1963" s="3"/>
      <c r="I1963" s="3"/>
      <c r="J1963" s="3"/>
      <c r="K1963" s="3"/>
      <c r="M1963" s="10"/>
      <c r="N1963" s="3"/>
      <c r="O1963" s="3"/>
      <c r="P1963" s="3"/>
    </row>
    <row r="1964" spans="4:16" x14ac:dyDescent="0.25">
      <c r="D1964" s="2"/>
      <c r="F1964" s="3"/>
      <c r="G1964" s="3"/>
      <c r="H1964" s="3"/>
      <c r="I1964" s="3"/>
      <c r="J1964" s="3"/>
      <c r="K1964" s="3"/>
      <c r="M1964" s="10"/>
      <c r="N1964" s="3"/>
      <c r="O1964" s="3"/>
      <c r="P1964" s="3"/>
    </row>
    <row r="1965" spans="4:16" x14ac:dyDescent="0.25">
      <c r="D1965" s="2"/>
      <c r="F1965" s="3"/>
      <c r="G1965" s="3"/>
      <c r="H1965" s="3"/>
      <c r="I1965" s="3"/>
      <c r="J1965" s="3"/>
      <c r="K1965" s="3"/>
      <c r="M1965" s="10"/>
      <c r="N1965" s="3"/>
      <c r="O1965" s="3"/>
      <c r="P1965" s="3"/>
    </row>
    <row r="1966" spans="4:16" x14ac:dyDescent="0.25">
      <c r="D1966" s="2"/>
      <c r="F1966" s="3"/>
      <c r="G1966" s="3"/>
      <c r="H1966" s="3"/>
      <c r="I1966" s="3"/>
      <c r="J1966" s="3"/>
      <c r="K1966" s="3"/>
      <c r="M1966" s="10"/>
      <c r="N1966" s="3"/>
      <c r="O1966" s="3"/>
      <c r="P1966" s="3"/>
    </row>
    <row r="1967" spans="4:16" x14ac:dyDescent="0.25">
      <c r="D1967" s="2"/>
      <c r="F1967" s="3"/>
      <c r="G1967" s="3"/>
      <c r="H1967" s="3"/>
      <c r="I1967" s="3"/>
      <c r="J1967" s="3"/>
      <c r="K1967" s="3"/>
      <c r="M1967" s="10"/>
      <c r="N1967" s="3"/>
      <c r="O1967" s="3"/>
      <c r="P1967" s="3"/>
    </row>
    <row r="1968" spans="4:16" x14ac:dyDescent="0.25">
      <c r="D1968" s="2"/>
      <c r="F1968" s="3"/>
      <c r="G1968" s="3"/>
      <c r="H1968" s="3"/>
      <c r="I1968" s="3"/>
      <c r="J1968" s="3"/>
      <c r="K1968" s="3"/>
      <c r="M1968" s="10"/>
      <c r="N1968" s="3"/>
      <c r="O1968" s="3"/>
      <c r="P1968" s="3"/>
    </row>
    <row r="1969" spans="4:16" x14ac:dyDescent="0.25">
      <c r="D1969" s="2"/>
      <c r="F1969" s="3"/>
      <c r="G1969" s="3"/>
      <c r="H1969" s="3"/>
      <c r="I1969" s="3"/>
      <c r="J1969" s="3"/>
      <c r="K1969" s="3"/>
      <c r="M1969" s="10"/>
      <c r="N1969" s="3"/>
      <c r="O1969" s="3"/>
      <c r="P1969" s="3"/>
    </row>
    <row r="1970" spans="4:16" x14ac:dyDescent="0.25">
      <c r="D1970" s="2"/>
      <c r="F1970" s="3"/>
      <c r="G1970" s="3"/>
      <c r="H1970" s="3"/>
      <c r="I1970" s="3"/>
      <c r="J1970" s="3"/>
      <c r="K1970" s="3"/>
      <c r="M1970" s="10"/>
      <c r="N1970" s="3"/>
      <c r="O1970" s="3"/>
      <c r="P1970" s="3"/>
    </row>
    <row r="1971" spans="4:16" x14ac:dyDescent="0.25">
      <c r="D1971" s="2"/>
      <c r="F1971" s="3"/>
      <c r="G1971" s="3"/>
      <c r="H1971" s="3"/>
      <c r="I1971" s="3"/>
      <c r="J1971" s="3"/>
      <c r="K1971" s="3"/>
      <c r="M1971" s="10"/>
      <c r="N1971" s="3"/>
      <c r="O1971" s="3"/>
      <c r="P1971" s="3"/>
    </row>
    <row r="1972" spans="4:16" x14ac:dyDescent="0.25">
      <c r="D1972" s="2"/>
      <c r="F1972" s="3"/>
      <c r="G1972" s="3"/>
      <c r="H1972" s="3"/>
      <c r="I1972" s="3"/>
      <c r="J1972" s="3"/>
      <c r="K1972" s="3"/>
      <c r="M1972" s="10"/>
      <c r="N1972" s="3"/>
      <c r="O1972" s="3"/>
      <c r="P1972" s="3"/>
    </row>
    <row r="1973" spans="4:16" x14ac:dyDescent="0.25">
      <c r="D1973" s="2"/>
      <c r="F1973" s="3"/>
      <c r="G1973" s="3"/>
      <c r="H1973" s="3"/>
      <c r="I1973" s="3"/>
      <c r="J1973" s="3"/>
      <c r="K1973" s="3"/>
      <c r="M1973" s="10"/>
      <c r="N1973" s="3"/>
      <c r="O1973" s="3"/>
      <c r="P1973" s="3"/>
    </row>
    <row r="1974" spans="4:16" x14ac:dyDescent="0.25">
      <c r="D1974" s="2"/>
      <c r="F1974" s="3"/>
      <c r="G1974" s="3"/>
      <c r="H1974" s="3"/>
      <c r="I1974" s="3"/>
      <c r="J1974" s="3"/>
      <c r="K1974" s="3"/>
      <c r="M1974" s="10"/>
      <c r="N1974" s="3"/>
      <c r="O1974" s="3"/>
      <c r="P1974" s="3"/>
    </row>
    <row r="1975" spans="4:16" x14ac:dyDescent="0.25">
      <c r="D1975" s="2"/>
      <c r="F1975" s="3"/>
      <c r="G1975" s="3"/>
      <c r="H1975" s="3"/>
      <c r="I1975" s="3"/>
      <c r="J1975" s="3"/>
      <c r="K1975" s="3"/>
      <c r="M1975" s="10"/>
      <c r="N1975" s="3"/>
      <c r="O1975" s="3"/>
      <c r="P1975" s="3"/>
    </row>
    <row r="1976" spans="4:16" x14ac:dyDescent="0.25">
      <c r="D1976" s="2"/>
      <c r="F1976" s="3"/>
      <c r="G1976" s="3"/>
      <c r="H1976" s="3"/>
      <c r="I1976" s="3"/>
      <c r="J1976" s="3"/>
      <c r="K1976" s="3"/>
      <c r="M1976" s="10"/>
      <c r="N1976" s="3"/>
      <c r="O1976" s="3"/>
      <c r="P1976" s="3"/>
    </row>
    <row r="1977" spans="4:16" x14ac:dyDescent="0.25">
      <c r="D1977" s="2"/>
      <c r="F1977" s="3"/>
      <c r="G1977" s="3"/>
      <c r="H1977" s="3"/>
      <c r="I1977" s="3"/>
      <c r="J1977" s="3"/>
      <c r="K1977" s="3"/>
      <c r="M1977" s="10"/>
      <c r="N1977" s="3"/>
      <c r="O1977" s="3"/>
      <c r="P1977" s="3"/>
    </row>
    <row r="1978" spans="4:16" x14ac:dyDescent="0.25">
      <c r="D1978" s="2"/>
      <c r="F1978" s="3"/>
      <c r="G1978" s="3"/>
      <c r="H1978" s="3"/>
      <c r="I1978" s="3"/>
      <c r="J1978" s="3"/>
      <c r="K1978" s="3"/>
      <c r="M1978" s="10"/>
      <c r="N1978" s="3"/>
      <c r="O1978" s="3"/>
      <c r="P1978" s="3"/>
    </row>
    <row r="1979" spans="4:16" x14ac:dyDescent="0.25">
      <c r="D1979" s="2"/>
      <c r="F1979" s="3"/>
      <c r="G1979" s="3"/>
      <c r="H1979" s="3"/>
      <c r="I1979" s="3"/>
      <c r="J1979" s="3"/>
      <c r="K1979" s="3"/>
      <c r="M1979" s="10"/>
      <c r="N1979" s="3"/>
      <c r="O1979" s="3"/>
      <c r="P1979" s="3"/>
    </row>
    <row r="1980" spans="4:16" x14ac:dyDescent="0.25">
      <c r="D1980" s="2"/>
      <c r="F1980" s="3"/>
      <c r="G1980" s="3"/>
      <c r="H1980" s="3"/>
      <c r="I1980" s="3"/>
      <c r="J1980" s="3"/>
      <c r="K1980" s="3"/>
      <c r="M1980" s="10"/>
      <c r="N1980" s="3"/>
      <c r="O1980" s="3"/>
      <c r="P1980" s="3"/>
    </row>
    <row r="1981" spans="4:16" x14ac:dyDescent="0.25">
      <c r="D1981" s="2"/>
      <c r="F1981" s="3"/>
      <c r="G1981" s="3"/>
      <c r="H1981" s="3"/>
      <c r="I1981" s="3"/>
      <c r="J1981" s="3"/>
      <c r="K1981" s="3"/>
      <c r="M1981" s="10"/>
      <c r="N1981" s="3"/>
      <c r="O1981" s="3"/>
      <c r="P1981" s="3"/>
    </row>
    <row r="1982" spans="4:16" x14ac:dyDescent="0.25">
      <c r="D1982" s="2"/>
      <c r="F1982" s="3"/>
      <c r="G1982" s="3"/>
      <c r="H1982" s="3"/>
      <c r="I1982" s="3"/>
      <c r="J1982" s="3"/>
      <c r="K1982" s="3"/>
      <c r="M1982" s="10"/>
      <c r="N1982" s="3"/>
      <c r="O1982" s="3"/>
      <c r="P1982" s="3"/>
    </row>
    <row r="1983" spans="4:16" x14ac:dyDescent="0.25">
      <c r="D1983" s="2"/>
      <c r="F1983" s="3"/>
      <c r="G1983" s="3"/>
      <c r="H1983" s="3"/>
      <c r="I1983" s="3"/>
      <c r="J1983" s="3"/>
      <c r="K1983" s="3"/>
      <c r="M1983" s="10"/>
      <c r="N1983" s="3"/>
      <c r="O1983" s="3"/>
      <c r="P1983" s="3"/>
    </row>
    <row r="1984" spans="4:16" x14ac:dyDescent="0.25">
      <c r="D1984" s="2"/>
      <c r="F1984" s="3"/>
      <c r="G1984" s="3"/>
      <c r="H1984" s="3"/>
      <c r="I1984" s="3"/>
      <c r="J1984" s="3"/>
      <c r="K1984" s="3"/>
      <c r="M1984" s="10"/>
      <c r="N1984" s="3"/>
      <c r="O1984" s="3"/>
      <c r="P1984" s="3"/>
    </row>
    <row r="1985" spans="4:16" x14ac:dyDescent="0.25">
      <c r="D1985" s="2"/>
      <c r="F1985" s="3"/>
      <c r="G1985" s="3"/>
      <c r="H1985" s="3"/>
      <c r="I1985" s="3"/>
      <c r="J1985" s="3"/>
      <c r="K1985" s="3"/>
      <c r="M1985" s="10"/>
      <c r="N1985" s="3"/>
      <c r="O1985" s="3"/>
      <c r="P1985" s="3"/>
    </row>
    <row r="1986" spans="4:16" x14ac:dyDescent="0.25">
      <c r="D1986" s="2"/>
      <c r="F1986" s="3"/>
      <c r="G1986" s="3"/>
      <c r="H1986" s="3"/>
      <c r="I1986" s="3"/>
      <c r="J1986" s="3"/>
      <c r="K1986" s="3"/>
      <c r="M1986" s="10"/>
      <c r="N1986" s="3"/>
      <c r="O1986" s="3"/>
      <c r="P1986" s="3"/>
    </row>
    <row r="1987" spans="4:16" x14ac:dyDescent="0.25">
      <c r="D1987" s="2"/>
      <c r="F1987" s="3"/>
      <c r="G1987" s="3"/>
      <c r="H1987" s="3"/>
      <c r="I1987" s="3"/>
      <c r="J1987" s="3"/>
      <c r="K1987" s="3"/>
      <c r="M1987" s="10"/>
      <c r="N1987" s="3"/>
      <c r="O1987" s="3"/>
      <c r="P1987" s="3"/>
    </row>
    <row r="1988" spans="4:16" x14ac:dyDescent="0.25">
      <c r="D1988" s="2"/>
      <c r="F1988" s="3"/>
      <c r="G1988" s="3"/>
      <c r="H1988" s="3"/>
      <c r="I1988" s="3"/>
      <c r="J1988" s="3"/>
      <c r="K1988" s="3"/>
      <c r="M1988" s="10"/>
      <c r="N1988" s="3"/>
      <c r="O1988" s="3"/>
      <c r="P1988" s="3"/>
    </row>
    <row r="1989" spans="4:16" x14ac:dyDescent="0.25">
      <c r="D1989" s="2"/>
      <c r="F1989" s="3"/>
      <c r="G1989" s="3"/>
      <c r="H1989" s="3"/>
      <c r="I1989" s="3"/>
      <c r="J1989" s="3"/>
      <c r="K1989" s="3"/>
      <c r="M1989" s="10"/>
      <c r="N1989" s="3"/>
      <c r="O1989" s="3"/>
      <c r="P1989" s="3"/>
    </row>
    <row r="1990" spans="4:16" x14ac:dyDescent="0.25">
      <c r="D1990" s="2"/>
      <c r="F1990" s="3"/>
      <c r="G1990" s="3"/>
      <c r="H1990" s="3"/>
      <c r="I1990" s="3"/>
      <c r="J1990" s="3"/>
      <c r="K1990" s="3"/>
      <c r="M1990" s="10"/>
      <c r="N1990" s="3"/>
      <c r="O1990" s="3"/>
      <c r="P1990" s="3"/>
    </row>
    <row r="1991" spans="4:16" x14ac:dyDescent="0.25">
      <c r="D1991" s="2"/>
      <c r="F1991" s="3"/>
      <c r="G1991" s="3"/>
      <c r="H1991" s="3"/>
      <c r="I1991" s="3"/>
      <c r="J1991" s="3"/>
      <c r="K1991" s="3"/>
      <c r="M1991" s="10"/>
      <c r="N1991" s="3"/>
      <c r="O1991" s="3"/>
      <c r="P1991" s="3"/>
    </row>
    <row r="1992" spans="4:16" x14ac:dyDescent="0.25">
      <c r="D1992" s="2"/>
      <c r="F1992" s="3"/>
      <c r="G1992" s="3"/>
      <c r="H1992" s="3"/>
      <c r="I1992" s="3"/>
      <c r="J1992" s="3"/>
      <c r="K1992" s="3"/>
      <c r="M1992" s="10"/>
      <c r="N1992" s="3"/>
      <c r="O1992" s="3"/>
      <c r="P1992" s="3"/>
    </row>
    <row r="1993" spans="4:16" x14ac:dyDescent="0.25">
      <c r="D1993" s="2"/>
      <c r="F1993" s="3"/>
      <c r="G1993" s="3"/>
      <c r="H1993" s="3"/>
      <c r="I1993" s="3"/>
      <c r="J1993" s="3"/>
      <c r="K1993" s="3"/>
      <c r="M1993" s="10"/>
      <c r="N1993" s="3"/>
      <c r="O1993" s="3"/>
      <c r="P1993" s="3"/>
    </row>
    <row r="1994" spans="4:16" x14ac:dyDescent="0.25">
      <c r="D1994" s="2"/>
      <c r="F1994" s="3"/>
      <c r="G1994" s="3"/>
      <c r="H1994" s="3"/>
      <c r="I1994" s="3"/>
      <c r="J1994" s="3"/>
      <c r="K1994" s="3"/>
      <c r="M1994" s="10"/>
      <c r="N1994" s="3"/>
      <c r="O1994" s="3"/>
      <c r="P1994" s="3"/>
    </row>
    <row r="1995" spans="4:16" x14ac:dyDescent="0.25">
      <c r="D1995" s="2"/>
      <c r="F1995" s="3"/>
      <c r="G1995" s="3"/>
      <c r="H1995" s="3"/>
      <c r="I1995" s="3"/>
      <c r="J1995" s="3"/>
      <c r="K1995" s="3"/>
      <c r="M1995" s="10"/>
      <c r="N1995" s="3"/>
      <c r="O1995" s="3"/>
      <c r="P1995" s="3"/>
    </row>
    <row r="1996" spans="4:16" x14ac:dyDescent="0.25">
      <c r="D1996" s="2"/>
      <c r="F1996" s="3"/>
      <c r="G1996" s="3"/>
      <c r="H1996" s="3"/>
      <c r="I1996" s="3"/>
      <c r="J1996" s="3"/>
      <c r="K1996" s="3"/>
      <c r="M1996" s="10"/>
      <c r="N1996" s="3"/>
      <c r="O1996" s="3"/>
      <c r="P1996" s="3"/>
    </row>
    <row r="1997" spans="4:16" x14ac:dyDescent="0.25">
      <c r="D1997" s="2"/>
      <c r="F1997" s="3"/>
      <c r="G1997" s="3"/>
      <c r="H1997" s="3"/>
      <c r="I1997" s="3"/>
      <c r="J1997" s="3"/>
      <c r="K1997" s="3"/>
      <c r="M1997" s="10"/>
      <c r="N1997" s="3"/>
      <c r="O1997" s="3"/>
      <c r="P1997" s="3"/>
    </row>
    <row r="1998" spans="4:16" x14ac:dyDescent="0.25">
      <c r="D1998" s="2"/>
      <c r="F1998" s="3"/>
      <c r="G1998" s="3"/>
      <c r="H1998" s="3"/>
      <c r="I1998" s="3"/>
      <c r="J1998" s="3"/>
      <c r="K1998" s="3"/>
      <c r="M1998" s="10"/>
      <c r="N1998" s="3"/>
      <c r="O1998" s="3"/>
      <c r="P1998" s="3"/>
    </row>
    <row r="1999" spans="4:16" x14ac:dyDescent="0.25">
      <c r="D1999" s="2"/>
      <c r="F1999" s="3"/>
      <c r="G1999" s="3"/>
      <c r="H1999" s="3"/>
      <c r="I1999" s="3"/>
      <c r="J1999" s="3"/>
      <c r="K1999" s="3"/>
      <c r="M1999" s="10"/>
      <c r="N1999" s="3"/>
      <c r="O1999" s="3"/>
      <c r="P1999" s="3"/>
    </row>
    <row r="2000" spans="4:16" x14ac:dyDescent="0.25">
      <c r="D2000" s="2"/>
      <c r="F2000" s="3"/>
      <c r="G2000" s="3"/>
      <c r="H2000" s="3"/>
      <c r="I2000" s="3"/>
      <c r="J2000" s="3"/>
      <c r="K2000" s="3"/>
      <c r="M2000" s="10"/>
      <c r="N2000" s="3"/>
      <c r="O2000" s="3"/>
      <c r="P2000" s="3"/>
    </row>
    <row r="2001" spans="4:16" x14ac:dyDescent="0.25">
      <c r="D2001" s="2"/>
      <c r="F2001" s="3"/>
      <c r="G2001" s="3"/>
      <c r="H2001" s="3"/>
      <c r="I2001" s="3"/>
      <c r="J2001" s="3"/>
      <c r="K2001" s="3"/>
      <c r="M2001" s="10"/>
      <c r="N2001" s="3"/>
      <c r="O2001" s="3"/>
      <c r="P2001" s="3"/>
    </row>
    <row r="2002" spans="4:16" x14ac:dyDescent="0.25">
      <c r="D2002" s="2"/>
      <c r="F2002" s="3"/>
      <c r="G2002" s="3"/>
      <c r="H2002" s="3"/>
      <c r="I2002" s="3"/>
      <c r="J2002" s="3"/>
      <c r="K2002" s="3"/>
      <c r="M2002" s="10"/>
      <c r="N2002" s="3"/>
      <c r="O2002" s="3"/>
      <c r="P2002" s="3"/>
    </row>
    <row r="2003" spans="4:16" x14ac:dyDescent="0.25">
      <c r="D2003" s="2"/>
      <c r="F2003" s="3"/>
      <c r="G2003" s="3"/>
      <c r="H2003" s="3"/>
      <c r="I2003" s="3"/>
      <c r="J2003" s="3"/>
      <c r="K2003" s="3"/>
      <c r="M2003" s="10"/>
      <c r="N2003" s="3"/>
      <c r="O2003" s="3"/>
      <c r="P2003" s="3"/>
    </row>
    <row r="2004" spans="4:16" x14ac:dyDescent="0.25">
      <c r="D2004" s="2"/>
      <c r="F2004" s="3"/>
      <c r="G2004" s="3"/>
      <c r="H2004" s="3"/>
      <c r="I2004" s="3"/>
      <c r="J2004" s="3"/>
      <c r="K2004" s="3"/>
      <c r="M2004" s="10"/>
      <c r="N2004" s="3"/>
      <c r="O2004" s="3"/>
      <c r="P2004" s="3"/>
    </row>
    <row r="2005" spans="4:16" x14ac:dyDescent="0.25">
      <c r="D2005" s="2"/>
      <c r="F2005" s="3"/>
      <c r="G2005" s="3"/>
      <c r="H2005" s="3"/>
      <c r="I2005" s="3"/>
      <c r="J2005" s="3"/>
      <c r="K2005" s="3"/>
      <c r="M2005" s="10"/>
      <c r="N2005" s="3"/>
      <c r="O2005" s="3"/>
      <c r="P2005" s="3"/>
    </row>
    <row r="2006" spans="4:16" x14ac:dyDescent="0.25">
      <c r="D2006" s="2"/>
      <c r="F2006" s="3"/>
      <c r="G2006" s="3"/>
      <c r="H2006" s="3"/>
      <c r="I2006" s="3"/>
      <c r="J2006" s="3"/>
      <c r="K2006" s="3"/>
      <c r="M2006" s="10"/>
      <c r="N2006" s="3"/>
      <c r="O2006" s="3"/>
      <c r="P2006" s="3"/>
    </row>
    <row r="2007" spans="4:16" x14ac:dyDescent="0.25">
      <c r="D2007" s="2"/>
      <c r="F2007" s="3"/>
      <c r="G2007" s="3"/>
      <c r="H2007" s="3"/>
      <c r="I2007" s="3"/>
      <c r="J2007" s="3"/>
      <c r="K2007" s="3"/>
      <c r="M2007" s="10"/>
      <c r="N2007" s="3"/>
      <c r="O2007" s="3"/>
      <c r="P2007" s="3"/>
    </row>
    <row r="2008" spans="4:16" x14ac:dyDescent="0.25">
      <c r="D2008" s="2"/>
      <c r="F2008" s="3"/>
      <c r="G2008" s="3"/>
      <c r="H2008" s="3"/>
      <c r="I2008" s="3"/>
      <c r="J2008" s="3"/>
      <c r="K2008" s="3"/>
      <c r="M2008" s="10"/>
      <c r="N2008" s="3"/>
      <c r="O2008" s="3"/>
      <c r="P2008" s="3"/>
    </row>
    <row r="2009" spans="4:16" x14ac:dyDescent="0.25">
      <c r="D2009" s="2"/>
      <c r="F2009" s="3"/>
      <c r="G2009" s="3"/>
      <c r="H2009" s="3"/>
      <c r="I2009" s="3"/>
      <c r="J2009" s="3"/>
      <c r="K2009" s="3"/>
      <c r="M2009" s="10"/>
      <c r="N2009" s="3"/>
      <c r="O2009" s="3"/>
      <c r="P2009" s="3"/>
    </row>
    <row r="2010" spans="4:16" x14ac:dyDescent="0.25">
      <c r="D2010" s="2"/>
      <c r="F2010" s="3"/>
      <c r="G2010" s="3"/>
      <c r="H2010" s="3"/>
      <c r="I2010" s="3"/>
      <c r="J2010" s="3"/>
      <c r="K2010" s="3"/>
      <c r="M2010" s="10"/>
      <c r="N2010" s="3"/>
      <c r="O2010" s="3"/>
      <c r="P2010" s="3"/>
    </row>
    <row r="2011" spans="4:16" x14ac:dyDescent="0.25">
      <c r="D2011" s="2"/>
      <c r="F2011" s="3"/>
      <c r="G2011" s="3"/>
      <c r="H2011" s="3"/>
      <c r="I2011" s="3"/>
      <c r="J2011" s="3"/>
      <c r="K2011" s="3"/>
      <c r="M2011" s="10"/>
      <c r="N2011" s="3"/>
      <c r="O2011" s="3"/>
      <c r="P2011" s="3"/>
    </row>
    <row r="2012" spans="4:16" x14ac:dyDescent="0.25">
      <c r="D2012" s="2"/>
      <c r="F2012" s="3"/>
      <c r="G2012" s="3"/>
      <c r="H2012" s="3"/>
      <c r="I2012" s="3"/>
      <c r="J2012" s="3"/>
      <c r="K2012" s="3"/>
      <c r="M2012" s="10"/>
      <c r="N2012" s="3"/>
      <c r="O2012" s="3"/>
      <c r="P2012" s="3"/>
    </row>
    <row r="2013" spans="4:16" x14ac:dyDescent="0.25">
      <c r="D2013" s="2"/>
      <c r="F2013" s="3"/>
      <c r="G2013" s="3"/>
      <c r="H2013" s="3"/>
      <c r="I2013" s="3"/>
      <c r="J2013" s="3"/>
      <c r="K2013" s="3"/>
      <c r="M2013" s="10"/>
      <c r="N2013" s="3"/>
      <c r="O2013" s="3"/>
      <c r="P2013" s="3"/>
    </row>
    <row r="2014" spans="4:16" x14ac:dyDescent="0.25">
      <c r="D2014" s="2"/>
      <c r="F2014" s="3"/>
      <c r="G2014" s="3"/>
      <c r="H2014" s="3"/>
      <c r="I2014" s="3"/>
      <c r="J2014" s="3"/>
      <c r="K2014" s="3"/>
      <c r="M2014" s="10"/>
      <c r="N2014" s="3"/>
      <c r="O2014" s="3"/>
      <c r="P2014" s="3"/>
    </row>
    <row r="2015" spans="4:16" x14ac:dyDescent="0.25">
      <c r="D2015" s="2"/>
      <c r="F2015" s="3"/>
      <c r="G2015" s="3"/>
      <c r="H2015" s="3"/>
      <c r="I2015" s="3"/>
      <c r="J2015" s="3"/>
      <c r="K2015" s="3"/>
      <c r="M2015" s="10"/>
      <c r="N2015" s="3"/>
      <c r="O2015" s="3"/>
      <c r="P2015" s="3"/>
    </row>
    <row r="2016" spans="4:16" x14ac:dyDescent="0.25">
      <c r="D2016" s="2"/>
      <c r="F2016" s="3"/>
      <c r="G2016" s="3"/>
      <c r="H2016" s="3"/>
      <c r="I2016" s="3"/>
      <c r="J2016" s="3"/>
      <c r="K2016" s="3"/>
      <c r="M2016" s="10"/>
      <c r="N2016" s="3"/>
      <c r="O2016" s="3"/>
      <c r="P2016" s="3"/>
    </row>
    <row r="2017" spans="4:16" x14ac:dyDescent="0.25">
      <c r="D2017" s="2"/>
      <c r="F2017" s="3"/>
      <c r="G2017" s="3"/>
      <c r="H2017" s="3"/>
      <c r="I2017" s="3"/>
      <c r="J2017" s="3"/>
      <c r="K2017" s="3"/>
      <c r="M2017" s="10"/>
      <c r="N2017" s="3"/>
      <c r="O2017" s="3"/>
      <c r="P2017" s="3"/>
    </row>
    <row r="2018" spans="4:16" x14ac:dyDescent="0.25">
      <c r="D2018" s="2"/>
      <c r="F2018" s="3"/>
      <c r="G2018" s="3"/>
      <c r="H2018" s="3"/>
      <c r="I2018" s="3"/>
      <c r="J2018" s="3"/>
      <c r="K2018" s="3"/>
      <c r="M2018" s="10"/>
      <c r="N2018" s="3"/>
      <c r="O2018" s="3"/>
      <c r="P2018" s="3"/>
    </row>
    <row r="2019" spans="4:16" x14ac:dyDescent="0.25">
      <c r="D2019" s="2"/>
      <c r="F2019" s="3"/>
      <c r="G2019" s="3"/>
      <c r="H2019" s="3"/>
      <c r="I2019" s="3"/>
      <c r="J2019" s="3"/>
      <c r="K2019" s="3"/>
      <c r="M2019" s="10"/>
      <c r="N2019" s="3"/>
      <c r="O2019" s="3"/>
      <c r="P2019" s="3"/>
    </row>
    <row r="2020" spans="4:16" x14ac:dyDescent="0.25">
      <c r="D2020" s="2"/>
      <c r="F2020" s="3"/>
      <c r="G2020" s="3"/>
      <c r="H2020" s="3"/>
      <c r="I2020" s="3"/>
      <c r="J2020" s="3"/>
      <c r="K2020" s="3"/>
      <c r="M2020" s="10"/>
      <c r="N2020" s="3"/>
      <c r="O2020" s="3"/>
      <c r="P2020" s="3"/>
    </row>
    <row r="2021" spans="4:16" x14ac:dyDescent="0.25">
      <c r="D2021" s="2"/>
      <c r="F2021" s="3"/>
      <c r="G2021" s="3"/>
      <c r="H2021" s="3"/>
      <c r="I2021" s="3"/>
      <c r="J2021" s="3"/>
      <c r="K2021" s="3"/>
      <c r="M2021" s="10"/>
      <c r="N2021" s="3"/>
      <c r="O2021" s="3"/>
      <c r="P2021" s="3"/>
    </row>
    <row r="2022" spans="4:16" x14ac:dyDescent="0.25">
      <c r="D2022" s="2"/>
      <c r="F2022" s="3"/>
      <c r="G2022" s="3"/>
      <c r="H2022" s="3"/>
      <c r="I2022" s="3"/>
      <c r="J2022" s="3"/>
      <c r="K2022" s="3"/>
      <c r="M2022" s="10"/>
      <c r="N2022" s="3"/>
      <c r="O2022" s="3"/>
      <c r="P2022" s="3"/>
    </row>
    <row r="2023" spans="4:16" x14ac:dyDescent="0.25">
      <c r="D2023" s="2"/>
      <c r="F2023" s="3"/>
      <c r="G2023" s="3"/>
      <c r="H2023" s="3"/>
      <c r="I2023" s="3"/>
      <c r="J2023" s="3"/>
      <c r="K2023" s="3"/>
      <c r="M2023" s="10"/>
      <c r="N2023" s="3"/>
      <c r="O2023" s="3"/>
      <c r="P2023" s="3"/>
    </row>
    <row r="2024" spans="4:16" x14ac:dyDescent="0.25">
      <c r="D2024" s="2"/>
      <c r="F2024" s="3"/>
      <c r="G2024" s="3"/>
      <c r="H2024" s="3"/>
      <c r="I2024" s="3"/>
      <c r="J2024" s="3"/>
      <c r="K2024" s="3"/>
      <c r="M2024" s="10"/>
      <c r="N2024" s="3"/>
      <c r="O2024" s="3"/>
      <c r="P2024" s="3"/>
    </row>
    <row r="2025" spans="4:16" x14ac:dyDescent="0.25">
      <c r="D2025" s="2"/>
      <c r="F2025" s="3"/>
      <c r="G2025" s="3"/>
      <c r="H2025" s="3"/>
      <c r="I2025" s="3"/>
      <c r="J2025" s="3"/>
      <c r="K2025" s="3"/>
      <c r="M2025" s="10"/>
      <c r="N2025" s="3"/>
      <c r="O2025" s="3"/>
      <c r="P2025" s="3"/>
    </row>
    <row r="2026" spans="4:16" x14ac:dyDescent="0.25">
      <c r="D2026" s="2"/>
      <c r="F2026" s="3"/>
      <c r="G2026" s="3"/>
      <c r="H2026" s="3"/>
      <c r="I2026" s="3"/>
      <c r="J2026" s="3"/>
      <c r="K2026" s="3"/>
      <c r="M2026" s="10"/>
      <c r="N2026" s="3"/>
      <c r="O2026" s="3"/>
      <c r="P2026" s="3"/>
    </row>
    <row r="2027" spans="4:16" x14ac:dyDescent="0.25">
      <c r="D2027" s="2"/>
      <c r="F2027" s="3"/>
      <c r="G2027" s="3"/>
      <c r="H2027" s="3"/>
      <c r="I2027" s="3"/>
      <c r="J2027" s="3"/>
      <c r="K2027" s="3"/>
      <c r="M2027" s="10"/>
      <c r="N2027" s="3"/>
      <c r="O2027" s="3"/>
      <c r="P2027" s="3"/>
    </row>
    <row r="2028" spans="4:16" x14ac:dyDescent="0.25">
      <c r="D2028" s="2"/>
      <c r="F2028" s="3"/>
      <c r="G2028" s="3"/>
      <c r="H2028" s="3"/>
      <c r="I2028" s="3"/>
      <c r="J2028" s="3"/>
      <c r="K2028" s="3"/>
      <c r="M2028" s="10"/>
      <c r="N2028" s="3"/>
      <c r="O2028" s="3"/>
      <c r="P2028" s="3"/>
    </row>
    <row r="2029" spans="4:16" x14ac:dyDescent="0.25">
      <c r="D2029" s="2"/>
      <c r="F2029" s="3"/>
      <c r="G2029" s="3"/>
      <c r="H2029" s="3"/>
      <c r="I2029" s="3"/>
      <c r="J2029" s="3"/>
      <c r="K2029" s="3"/>
      <c r="M2029" s="10"/>
      <c r="N2029" s="3"/>
      <c r="O2029" s="3"/>
      <c r="P2029" s="3"/>
    </row>
    <row r="2030" spans="4:16" x14ac:dyDescent="0.25">
      <c r="D2030" s="2"/>
      <c r="F2030" s="3"/>
      <c r="G2030" s="3"/>
      <c r="H2030" s="3"/>
      <c r="I2030" s="3"/>
      <c r="J2030" s="3"/>
      <c r="K2030" s="3"/>
      <c r="M2030" s="10"/>
      <c r="N2030" s="3"/>
      <c r="O2030" s="3"/>
      <c r="P2030" s="3"/>
    </row>
    <row r="2031" spans="4:16" x14ac:dyDescent="0.25">
      <c r="D2031" s="2"/>
      <c r="F2031" s="3"/>
      <c r="G2031" s="3"/>
      <c r="H2031" s="3"/>
      <c r="I2031" s="3"/>
      <c r="J2031" s="3"/>
      <c r="K2031" s="3"/>
      <c r="M2031" s="10"/>
      <c r="N2031" s="3"/>
      <c r="O2031" s="3"/>
      <c r="P2031" s="3"/>
    </row>
    <row r="2032" spans="4:16" x14ac:dyDescent="0.25">
      <c r="D2032" s="2"/>
      <c r="F2032" s="3"/>
      <c r="G2032" s="3"/>
      <c r="H2032" s="3"/>
      <c r="I2032" s="3"/>
      <c r="J2032" s="3"/>
      <c r="K2032" s="3"/>
      <c r="M2032" s="10"/>
      <c r="N2032" s="3"/>
      <c r="O2032" s="3"/>
      <c r="P2032" s="3"/>
    </row>
    <row r="2033" spans="4:16" x14ac:dyDescent="0.25">
      <c r="D2033" s="2"/>
      <c r="F2033" s="3"/>
      <c r="G2033" s="3"/>
      <c r="H2033" s="3"/>
      <c r="I2033" s="3"/>
      <c r="J2033" s="3"/>
      <c r="K2033" s="3"/>
      <c r="M2033" s="10"/>
      <c r="N2033" s="3"/>
      <c r="O2033" s="3"/>
      <c r="P2033" s="3"/>
    </row>
    <row r="2034" spans="4:16" x14ac:dyDescent="0.25">
      <c r="D2034" s="2"/>
      <c r="F2034" s="3"/>
      <c r="G2034" s="3"/>
      <c r="H2034" s="3"/>
      <c r="I2034" s="3"/>
      <c r="J2034" s="3"/>
      <c r="K2034" s="3"/>
      <c r="M2034" s="10"/>
      <c r="N2034" s="3"/>
      <c r="O2034" s="3"/>
      <c r="P2034" s="3"/>
    </row>
    <row r="2035" spans="4:16" x14ac:dyDescent="0.25">
      <c r="D2035" s="2"/>
      <c r="F2035" s="3"/>
      <c r="G2035" s="3"/>
      <c r="H2035" s="3"/>
      <c r="I2035" s="3"/>
      <c r="J2035" s="3"/>
      <c r="K2035" s="3"/>
      <c r="M2035" s="10"/>
      <c r="N2035" s="3"/>
      <c r="O2035" s="3"/>
      <c r="P2035" s="3"/>
    </row>
    <row r="2036" spans="4:16" x14ac:dyDescent="0.25">
      <c r="D2036" s="2"/>
      <c r="F2036" s="3"/>
      <c r="G2036" s="3"/>
      <c r="H2036" s="3"/>
      <c r="I2036" s="3"/>
      <c r="J2036" s="3"/>
      <c r="K2036" s="3"/>
      <c r="M2036" s="10"/>
      <c r="N2036" s="3"/>
      <c r="O2036" s="3"/>
      <c r="P2036" s="3"/>
    </row>
    <row r="2037" spans="4:16" x14ac:dyDescent="0.25">
      <c r="D2037" s="2"/>
      <c r="F2037" s="3"/>
      <c r="G2037" s="3"/>
      <c r="H2037" s="3"/>
      <c r="I2037" s="3"/>
      <c r="J2037" s="3"/>
      <c r="K2037" s="3"/>
      <c r="M2037" s="10"/>
      <c r="N2037" s="3"/>
      <c r="O2037" s="3"/>
      <c r="P2037" s="3"/>
    </row>
    <row r="2038" spans="4:16" x14ac:dyDescent="0.25">
      <c r="D2038" s="2"/>
      <c r="F2038" s="3"/>
      <c r="G2038" s="3"/>
      <c r="H2038" s="3"/>
      <c r="I2038" s="3"/>
      <c r="J2038" s="3"/>
      <c r="K2038" s="3"/>
      <c r="M2038" s="10"/>
      <c r="N2038" s="3"/>
      <c r="O2038" s="3"/>
      <c r="P2038" s="3"/>
    </row>
    <row r="2039" spans="4:16" x14ac:dyDescent="0.25">
      <c r="D2039" s="2"/>
      <c r="F2039" s="3"/>
      <c r="G2039" s="3"/>
      <c r="H2039" s="3"/>
      <c r="I2039" s="3"/>
      <c r="J2039" s="3"/>
      <c r="K2039" s="3"/>
      <c r="M2039" s="10"/>
      <c r="N2039" s="3"/>
      <c r="O2039" s="3"/>
      <c r="P2039" s="3"/>
    </row>
    <row r="2040" spans="4:16" x14ac:dyDescent="0.25">
      <c r="D2040" s="2"/>
      <c r="F2040" s="3"/>
      <c r="G2040" s="3"/>
      <c r="H2040" s="3"/>
      <c r="I2040" s="3"/>
      <c r="J2040" s="3"/>
      <c r="K2040" s="3"/>
      <c r="M2040" s="10"/>
      <c r="N2040" s="3"/>
      <c r="O2040" s="3"/>
      <c r="P2040" s="3"/>
    </row>
    <row r="2041" spans="4:16" x14ac:dyDescent="0.25">
      <c r="D2041" s="2"/>
      <c r="F2041" s="3"/>
      <c r="G2041" s="3"/>
      <c r="H2041" s="3"/>
      <c r="I2041" s="3"/>
      <c r="J2041" s="3"/>
      <c r="K2041" s="3"/>
      <c r="M2041" s="10"/>
      <c r="N2041" s="3"/>
      <c r="O2041" s="3"/>
      <c r="P2041" s="3"/>
    </row>
    <row r="2042" spans="4:16" x14ac:dyDescent="0.25">
      <c r="D2042" s="2"/>
      <c r="F2042" s="3"/>
      <c r="G2042" s="3"/>
      <c r="H2042" s="3"/>
      <c r="I2042" s="3"/>
      <c r="J2042" s="3"/>
      <c r="K2042" s="3"/>
      <c r="M2042" s="10"/>
      <c r="N2042" s="3"/>
      <c r="O2042" s="3"/>
      <c r="P2042" s="3"/>
    </row>
    <row r="2043" spans="4:16" x14ac:dyDescent="0.25">
      <c r="D2043" s="2"/>
      <c r="F2043" s="3"/>
      <c r="G2043" s="3"/>
      <c r="H2043" s="3"/>
      <c r="I2043" s="3"/>
      <c r="J2043" s="3"/>
      <c r="K2043" s="3"/>
      <c r="M2043" s="10"/>
      <c r="N2043" s="3"/>
      <c r="O2043" s="3"/>
      <c r="P2043" s="3"/>
    </row>
    <row r="2044" spans="4:16" x14ac:dyDescent="0.25">
      <c r="D2044" s="2"/>
      <c r="F2044" s="3"/>
      <c r="G2044" s="3"/>
      <c r="H2044" s="3"/>
      <c r="I2044" s="3"/>
      <c r="J2044" s="3"/>
      <c r="K2044" s="3"/>
      <c r="M2044" s="10"/>
      <c r="N2044" s="3"/>
      <c r="O2044" s="3"/>
      <c r="P2044" s="3"/>
    </row>
    <row r="2045" spans="4:16" x14ac:dyDescent="0.25">
      <c r="D2045" s="2"/>
      <c r="F2045" s="3"/>
      <c r="G2045" s="3"/>
      <c r="H2045" s="3"/>
      <c r="I2045" s="3"/>
      <c r="J2045" s="3"/>
      <c r="K2045" s="3"/>
      <c r="M2045" s="10"/>
      <c r="N2045" s="3"/>
      <c r="O2045" s="3"/>
      <c r="P2045" s="3"/>
    </row>
    <row r="2046" spans="4:16" x14ac:dyDescent="0.25">
      <c r="D2046" s="2"/>
      <c r="F2046" s="3"/>
      <c r="G2046" s="3"/>
      <c r="H2046" s="3"/>
      <c r="I2046" s="3"/>
      <c r="J2046" s="3"/>
      <c r="K2046" s="3"/>
      <c r="M2046" s="10"/>
      <c r="N2046" s="3"/>
      <c r="O2046" s="3"/>
      <c r="P2046" s="3"/>
    </row>
    <row r="2047" spans="4:16" x14ac:dyDescent="0.25">
      <c r="D2047" s="2"/>
      <c r="F2047" s="3"/>
      <c r="G2047" s="3"/>
      <c r="H2047" s="3"/>
      <c r="I2047" s="3"/>
      <c r="J2047" s="3"/>
      <c r="K2047" s="3"/>
      <c r="M2047" s="10"/>
      <c r="N2047" s="3"/>
      <c r="O2047" s="3"/>
      <c r="P2047" s="3"/>
    </row>
    <row r="2048" spans="4:16" x14ac:dyDescent="0.25">
      <c r="D2048" s="2"/>
      <c r="F2048" s="3"/>
      <c r="G2048" s="3"/>
      <c r="H2048" s="3"/>
      <c r="I2048" s="3"/>
      <c r="J2048" s="3"/>
      <c r="K2048" s="3"/>
      <c r="M2048" s="10"/>
      <c r="N2048" s="3"/>
      <c r="O2048" s="3"/>
      <c r="P2048" s="3"/>
    </row>
    <row r="2049" spans="4:16" x14ac:dyDescent="0.25">
      <c r="D2049" s="2"/>
      <c r="F2049" s="3"/>
      <c r="G2049" s="3"/>
      <c r="H2049" s="3"/>
      <c r="I2049" s="3"/>
      <c r="J2049" s="3"/>
      <c r="K2049" s="3"/>
      <c r="M2049" s="10"/>
      <c r="N2049" s="3"/>
      <c r="O2049" s="3"/>
      <c r="P2049" s="3"/>
    </row>
    <row r="2050" spans="4:16" x14ac:dyDescent="0.25">
      <c r="D2050" s="2"/>
      <c r="F2050" s="3"/>
      <c r="G2050" s="3"/>
      <c r="H2050" s="3"/>
      <c r="I2050" s="3"/>
      <c r="J2050" s="3"/>
      <c r="K2050" s="3"/>
      <c r="M2050" s="10"/>
      <c r="N2050" s="3"/>
      <c r="O2050" s="3"/>
      <c r="P2050" s="3"/>
    </row>
    <row r="2051" spans="4:16" x14ac:dyDescent="0.25">
      <c r="D2051" s="2"/>
      <c r="F2051" s="3"/>
      <c r="G2051" s="3"/>
      <c r="H2051" s="3"/>
      <c r="I2051" s="3"/>
      <c r="J2051" s="3"/>
      <c r="K2051" s="3"/>
      <c r="M2051" s="10"/>
      <c r="N2051" s="3"/>
      <c r="O2051" s="3"/>
      <c r="P2051" s="3"/>
    </row>
    <row r="2052" spans="4:16" x14ac:dyDescent="0.25">
      <c r="D2052" s="2"/>
      <c r="F2052" s="3"/>
      <c r="G2052" s="3"/>
      <c r="H2052" s="3"/>
      <c r="I2052" s="3"/>
      <c r="J2052" s="3"/>
      <c r="K2052" s="3"/>
      <c r="M2052" s="10"/>
      <c r="N2052" s="3"/>
      <c r="O2052" s="3"/>
      <c r="P2052" s="3"/>
    </row>
    <row r="2053" spans="4:16" x14ac:dyDescent="0.25">
      <c r="D2053" s="2"/>
      <c r="F2053" s="3"/>
      <c r="G2053" s="3"/>
      <c r="H2053" s="3"/>
      <c r="I2053" s="3"/>
      <c r="J2053" s="3"/>
      <c r="K2053" s="3"/>
      <c r="M2053" s="10"/>
      <c r="N2053" s="3"/>
      <c r="O2053" s="3"/>
      <c r="P2053" s="3"/>
    </row>
    <row r="2054" spans="4:16" x14ac:dyDescent="0.25">
      <c r="D2054" s="2"/>
      <c r="F2054" s="3"/>
      <c r="G2054" s="3"/>
      <c r="H2054" s="3"/>
      <c r="I2054" s="3"/>
      <c r="J2054" s="3"/>
      <c r="K2054" s="3"/>
      <c r="M2054" s="10"/>
      <c r="N2054" s="3"/>
      <c r="O2054" s="3"/>
      <c r="P2054" s="3"/>
    </row>
    <row r="2055" spans="4:16" x14ac:dyDescent="0.25">
      <c r="D2055" s="2"/>
      <c r="F2055" s="3"/>
      <c r="G2055" s="3"/>
      <c r="H2055" s="3"/>
      <c r="I2055" s="3"/>
      <c r="J2055" s="3"/>
      <c r="K2055" s="3"/>
      <c r="M2055" s="10"/>
      <c r="N2055" s="3"/>
      <c r="O2055" s="3"/>
      <c r="P2055" s="3"/>
    </row>
    <row r="2056" spans="4:16" x14ac:dyDescent="0.25">
      <c r="D2056" s="2"/>
      <c r="F2056" s="3"/>
      <c r="G2056" s="3"/>
      <c r="H2056" s="3"/>
      <c r="I2056" s="3"/>
      <c r="J2056" s="3"/>
      <c r="K2056" s="3"/>
      <c r="M2056" s="10"/>
      <c r="N2056" s="3"/>
      <c r="O2056" s="3"/>
      <c r="P2056" s="3"/>
    </row>
    <row r="2057" spans="4:16" x14ac:dyDescent="0.25">
      <c r="D2057" s="2"/>
      <c r="F2057" s="3"/>
      <c r="G2057" s="3"/>
      <c r="H2057" s="3"/>
      <c r="I2057" s="3"/>
      <c r="J2057" s="3"/>
      <c r="K2057" s="3"/>
      <c r="M2057" s="10"/>
      <c r="N2057" s="3"/>
      <c r="O2057" s="3"/>
      <c r="P2057" s="3"/>
    </row>
    <row r="2058" spans="4:16" x14ac:dyDescent="0.25">
      <c r="D2058" s="2"/>
      <c r="F2058" s="3"/>
      <c r="G2058" s="3"/>
      <c r="H2058" s="3"/>
      <c r="I2058" s="3"/>
      <c r="J2058" s="3"/>
      <c r="K2058" s="3"/>
      <c r="M2058" s="10"/>
      <c r="N2058" s="3"/>
      <c r="O2058" s="3"/>
      <c r="P2058" s="3"/>
    </row>
    <row r="2059" spans="4:16" x14ac:dyDescent="0.25">
      <c r="D2059" s="2"/>
      <c r="F2059" s="3"/>
      <c r="G2059" s="3"/>
      <c r="H2059" s="3"/>
      <c r="I2059" s="3"/>
      <c r="J2059" s="3"/>
      <c r="K2059" s="3"/>
      <c r="M2059" s="10"/>
      <c r="N2059" s="3"/>
      <c r="O2059" s="3"/>
      <c r="P2059" s="3"/>
    </row>
    <row r="2060" spans="4:16" x14ac:dyDescent="0.25">
      <c r="D2060" s="2"/>
      <c r="F2060" s="3"/>
      <c r="G2060" s="3"/>
      <c r="H2060" s="3"/>
      <c r="I2060" s="3"/>
      <c r="J2060" s="3"/>
      <c r="K2060" s="3"/>
      <c r="M2060" s="10"/>
      <c r="N2060" s="3"/>
      <c r="O2060" s="3"/>
      <c r="P2060" s="3"/>
    </row>
    <row r="2061" spans="4:16" x14ac:dyDescent="0.25">
      <c r="D2061" s="2"/>
      <c r="F2061" s="3"/>
      <c r="G2061" s="3"/>
      <c r="H2061" s="3"/>
      <c r="I2061" s="3"/>
      <c r="J2061" s="3"/>
      <c r="K2061" s="3"/>
      <c r="M2061" s="10"/>
      <c r="N2061" s="3"/>
      <c r="O2061" s="3"/>
      <c r="P2061" s="3"/>
    </row>
    <row r="2062" spans="4:16" x14ac:dyDescent="0.25">
      <c r="D2062" s="2"/>
      <c r="F2062" s="3"/>
      <c r="G2062" s="3"/>
      <c r="H2062" s="3"/>
      <c r="I2062" s="3"/>
      <c r="J2062" s="3"/>
      <c r="K2062" s="3"/>
      <c r="M2062" s="10"/>
      <c r="N2062" s="3"/>
      <c r="O2062" s="3"/>
      <c r="P2062" s="3"/>
    </row>
    <row r="2063" spans="4:16" x14ac:dyDescent="0.25">
      <c r="D2063" s="2"/>
      <c r="F2063" s="3"/>
      <c r="G2063" s="3"/>
      <c r="H2063" s="3"/>
      <c r="I2063" s="3"/>
      <c r="J2063" s="3"/>
      <c r="K2063" s="3"/>
      <c r="M2063" s="10"/>
      <c r="N2063" s="3"/>
      <c r="O2063" s="3"/>
      <c r="P2063" s="3"/>
    </row>
    <row r="2064" spans="4:16" x14ac:dyDescent="0.25">
      <c r="D2064" s="2"/>
      <c r="F2064" s="3"/>
      <c r="G2064" s="3"/>
      <c r="H2064" s="3"/>
      <c r="I2064" s="3"/>
      <c r="J2064" s="3"/>
      <c r="K2064" s="3"/>
      <c r="M2064" s="10"/>
      <c r="N2064" s="3"/>
      <c r="O2064" s="3"/>
      <c r="P2064" s="3"/>
    </row>
    <row r="2065" spans="4:16" x14ac:dyDescent="0.25">
      <c r="D2065" s="2"/>
      <c r="F2065" s="3"/>
      <c r="G2065" s="3"/>
      <c r="H2065" s="3"/>
      <c r="I2065" s="3"/>
      <c r="J2065" s="3"/>
      <c r="K2065" s="3"/>
      <c r="M2065" s="10"/>
      <c r="N2065" s="3"/>
      <c r="O2065" s="3"/>
      <c r="P2065" s="3"/>
    </row>
    <row r="2066" spans="4:16" x14ac:dyDescent="0.25">
      <c r="D2066" s="2"/>
      <c r="F2066" s="3"/>
      <c r="G2066" s="3"/>
      <c r="H2066" s="3"/>
      <c r="I2066" s="3"/>
      <c r="J2066" s="3"/>
      <c r="K2066" s="3"/>
      <c r="M2066" s="10"/>
      <c r="N2066" s="3"/>
      <c r="O2066" s="3"/>
      <c r="P2066" s="3"/>
    </row>
    <row r="2067" spans="4:16" x14ac:dyDescent="0.25">
      <c r="D2067" s="2"/>
      <c r="F2067" s="3"/>
      <c r="G2067" s="3"/>
      <c r="H2067" s="3"/>
      <c r="I2067" s="3"/>
      <c r="J2067" s="3"/>
      <c r="K2067" s="3"/>
      <c r="M2067" s="10"/>
      <c r="N2067" s="3"/>
      <c r="O2067" s="3"/>
      <c r="P2067" s="3"/>
    </row>
    <row r="2068" spans="4:16" x14ac:dyDescent="0.25">
      <c r="D2068" s="2"/>
      <c r="F2068" s="3"/>
      <c r="G2068" s="3"/>
      <c r="H2068" s="3"/>
      <c r="I2068" s="3"/>
      <c r="J2068" s="3"/>
      <c r="K2068" s="3"/>
      <c r="M2068" s="10"/>
      <c r="N2068" s="3"/>
      <c r="O2068" s="3"/>
      <c r="P2068" s="3"/>
    </row>
    <row r="2069" spans="4:16" x14ac:dyDescent="0.25">
      <c r="D2069" s="2"/>
      <c r="F2069" s="3"/>
      <c r="G2069" s="3"/>
      <c r="H2069" s="3"/>
      <c r="I2069" s="3"/>
      <c r="J2069" s="3"/>
      <c r="K2069" s="3"/>
      <c r="M2069" s="10"/>
      <c r="N2069" s="3"/>
      <c r="O2069" s="3"/>
      <c r="P2069" s="3"/>
    </row>
    <row r="2070" spans="4:16" x14ac:dyDescent="0.25">
      <c r="D2070" s="2"/>
      <c r="F2070" s="3"/>
      <c r="G2070" s="3"/>
      <c r="H2070" s="3"/>
      <c r="I2070" s="3"/>
      <c r="J2070" s="3"/>
      <c r="K2070" s="3"/>
      <c r="M2070" s="10"/>
      <c r="N2070" s="3"/>
      <c r="O2070" s="3"/>
      <c r="P2070" s="3"/>
    </row>
    <row r="2071" spans="4:16" x14ac:dyDescent="0.25">
      <c r="D2071" s="2"/>
      <c r="F2071" s="3"/>
      <c r="G2071" s="3"/>
      <c r="H2071" s="3"/>
      <c r="I2071" s="3"/>
      <c r="J2071" s="3"/>
      <c r="K2071" s="3"/>
      <c r="M2071" s="10"/>
      <c r="N2071" s="3"/>
      <c r="O2071" s="3"/>
      <c r="P2071" s="3"/>
    </row>
    <row r="2072" spans="4:16" x14ac:dyDescent="0.25">
      <c r="D2072" s="2"/>
      <c r="F2072" s="3"/>
      <c r="G2072" s="3"/>
      <c r="H2072" s="3"/>
      <c r="I2072" s="3"/>
      <c r="J2072" s="3"/>
      <c r="K2072" s="3"/>
      <c r="M2072" s="10"/>
      <c r="N2072" s="3"/>
      <c r="O2072" s="3"/>
      <c r="P2072" s="3"/>
    </row>
    <row r="2073" spans="4:16" x14ac:dyDescent="0.25">
      <c r="D2073" s="2"/>
      <c r="F2073" s="3"/>
      <c r="G2073" s="3"/>
      <c r="H2073" s="3"/>
      <c r="I2073" s="3"/>
      <c r="J2073" s="3"/>
      <c r="K2073" s="3"/>
      <c r="M2073" s="10"/>
      <c r="N2073" s="3"/>
      <c r="O2073" s="3"/>
      <c r="P2073" s="3"/>
    </row>
    <row r="2074" spans="4:16" x14ac:dyDescent="0.25">
      <c r="D2074" s="2"/>
      <c r="F2074" s="3"/>
      <c r="G2074" s="3"/>
      <c r="H2074" s="3"/>
      <c r="I2074" s="3"/>
      <c r="J2074" s="3"/>
      <c r="K2074" s="3"/>
      <c r="M2074" s="10"/>
      <c r="N2074" s="3"/>
      <c r="O2074" s="3"/>
      <c r="P2074" s="3"/>
    </row>
    <row r="2075" spans="4:16" x14ac:dyDescent="0.25">
      <c r="D2075" s="2"/>
      <c r="F2075" s="3"/>
      <c r="G2075" s="3"/>
      <c r="H2075" s="3"/>
      <c r="I2075" s="3"/>
      <c r="J2075" s="3"/>
      <c r="K2075" s="3"/>
      <c r="M2075" s="10"/>
      <c r="N2075" s="3"/>
      <c r="O2075" s="3"/>
      <c r="P2075" s="3"/>
    </row>
    <row r="2076" spans="4:16" x14ac:dyDescent="0.25">
      <c r="D2076" s="2"/>
      <c r="F2076" s="3"/>
      <c r="G2076" s="3"/>
      <c r="H2076" s="3"/>
      <c r="I2076" s="3"/>
      <c r="J2076" s="3"/>
      <c r="K2076" s="3"/>
      <c r="M2076" s="10"/>
      <c r="N2076" s="3"/>
      <c r="O2076" s="3"/>
      <c r="P2076" s="3"/>
    </row>
    <row r="2077" spans="4:16" x14ac:dyDescent="0.25">
      <c r="D2077" s="2"/>
      <c r="F2077" s="3"/>
      <c r="G2077" s="3"/>
      <c r="H2077" s="3"/>
      <c r="I2077" s="3"/>
      <c r="J2077" s="3"/>
      <c r="K2077" s="3"/>
      <c r="M2077" s="10"/>
      <c r="N2077" s="3"/>
      <c r="O2077" s="3"/>
      <c r="P2077" s="3"/>
    </row>
    <row r="2078" spans="4:16" x14ac:dyDescent="0.25">
      <c r="D2078" s="2"/>
      <c r="F2078" s="3"/>
      <c r="G2078" s="3"/>
      <c r="H2078" s="3"/>
      <c r="I2078" s="3"/>
      <c r="J2078" s="3"/>
      <c r="K2078" s="3"/>
      <c r="M2078" s="10"/>
      <c r="N2078" s="3"/>
      <c r="O2078" s="3"/>
      <c r="P2078" s="3"/>
    </row>
    <row r="2079" spans="4:16" x14ac:dyDescent="0.25">
      <c r="D2079" s="2"/>
      <c r="F2079" s="3"/>
      <c r="G2079" s="3"/>
      <c r="H2079" s="3"/>
      <c r="I2079" s="3"/>
      <c r="J2079" s="3"/>
      <c r="K2079" s="3"/>
      <c r="M2079" s="10"/>
      <c r="N2079" s="3"/>
      <c r="O2079" s="3"/>
      <c r="P2079" s="3"/>
    </row>
    <row r="2080" spans="4:16" x14ac:dyDescent="0.25">
      <c r="D2080" s="2"/>
      <c r="F2080" s="3"/>
      <c r="G2080" s="3"/>
      <c r="H2080" s="3"/>
      <c r="I2080" s="3"/>
      <c r="J2080" s="3"/>
      <c r="K2080" s="3"/>
      <c r="M2080" s="10"/>
      <c r="N2080" s="3"/>
      <c r="O2080" s="3"/>
      <c r="P2080" s="3"/>
    </row>
    <row r="2081" spans="4:16" x14ac:dyDescent="0.25">
      <c r="D2081" s="2"/>
      <c r="F2081" s="3"/>
      <c r="G2081" s="3"/>
      <c r="H2081" s="3"/>
      <c r="I2081" s="3"/>
      <c r="J2081" s="3"/>
      <c r="K2081" s="3"/>
      <c r="M2081" s="10"/>
      <c r="N2081" s="3"/>
      <c r="O2081" s="3"/>
      <c r="P2081" s="3"/>
    </row>
    <row r="2082" spans="4:16" x14ac:dyDescent="0.25">
      <c r="D2082" s="2"/>
      <c r="F2082" s="3"/>
      <c r="G2082" s="3"/>
      <c r="H2082" s="3"/>
      <c r="I2082" s="3"/>
      <c r="J2082" s="3"/>
      <c r="K2082" s="3"/>
      <c r="M2082" s="10"/>
      <c r="N2082" s="3"/>
      <c r="O2082" s="3"/>
      <c r="P2082" s="3"/>
    </row>
    <row r="2083" spans="4:16" x14ac:dyDescent="0.25">
      <c r="D2083" s="2"/>
      <c r="F2083" s="3"/>
      <c r="G2083" s="3"/>
      <c r="H2083" s="3"/>
      <c r="I2083" s="3"/>
      <c r="J2083" s="3"/>
      <c r="K2083" s="3"/>
      <c r="M2083" s="10"/>
      <c r="N2083" s="3"/>
      <c r="O2083" s="3"/>
      <c r="P2083" s="3"/>
    </row>
    <row r="2084" spans="4:16" x14ac:dyDescent="0.25">
      <c r="D2084" s="2"/>
      <c r="F2084" s="3"/>
      <c r="G2084" s="3"/>
      <c r="H2084" s="3"/>
      <c r="I2084" s="3"/>
      <c r="J2084" s="3"/>
      <c r="K2084" s="3"/>
      <c r="M2084" s="10"/>
      <c r="N2084" s="3"/>
      <c r="O2084" s="3"/>
      <c r="P2084" s="3"/>
    </row>
    <row r="2085" spans="4:16" x14ac:dyDescent="0.25">
      <c r="D2085" s="2"/>
      <c r="F2085" s="3"/>
      <c r="G2085" s="3"/>
      <c r="H2085" s="3"/>
      <c r="I2085" s="3"/>
      <c r="J2085" s="3"/>
      <c r="K2085" s="3"/>
      <c r="M2085" s="10"/>
      <c r="N2085" s="3"/>
      <c r="O2085" s="3"/>
      <c r="P2085" s="3"/>
    </row>
    <row r="2086" spans="4:16" x14ac:dyDescent="0.25">
      <c r="D2086" s="2"/>
      <c r="F2086" s="3"/>
      <c r="G2086" s="3"/>
      <c r="H2086" s="3"/>
      <c r="I2086" s="3"/>
      <c r="J2086" s="3"/>
      <c r="K2086" s="3"/>
      <c r="M2086" s="10"/>
      <c r="N2086" s="3"/>
      <c r="O2086" s="3"/>
      <c r="P2086" s="3"/>
    </row>
    <row r="2087" spans="4:16" x14ac:dyDescent="0.25">
      <c r="D2087" s="2"/>
      <c r="F2087" s="3"/>
      <c r="G2087" s="3"/>
      <c r="H2087" s="3"/>
      <c r="I2087" s="3"/>
      <c r="J2087" s="3"/>
      <c r="K2087" s="3"/>
      <c r="M2087" s="10"/>
      <c r="N2087" s="3"/>
      <c r="O2087" s="3"/>
      <c r="P2087" s="3"/>
    </row>
    <row r="2088" spans="4:16" x14ac:dyDescent="0.25">
      <c r="D2088" s="2"/>
      <c r="F2088" s="3"/>
      <c r="G2088" s="3"/>
      <c r="H2088" s="3"/>
      <c r="I2088" s="3"/>
      <c r="J2088" s="3"/>
      <c r="K2088" s="3"/>
      <c r="M2088" s="10"/>
      <c r="N2088" s="3"/>
      <c r="O2088" s="3"/>
      <c r="P2088" s="3"/>
    </row>
    <row r="2089" spans="4:16" x14ac:dyDescent="0.25">
      <c r="D2089" s="2"/>
      <c r="F2089" s="3"/>
      <c r="G2089" s="3"/>
      <c r="H2089" s="3"/>
      <c r="I2089" s="3"/>
      <c r="J2089" s="3"/>
      <c r="K2089" s="3"/>
      <c r="M2089" s="10"/>
      <c r="N2089" s="3"/>
      <c r="O2089" s="3"/>
      <c r="P2089" s="3"/>
    </row>
    <row r="2090" spans="4:16" x14ac:dyDescent="0.25">
      <c r="D2090" s="2"/>
      <c r="F2090" s="3"/>
      <c r="G2090" s="3"/>
      <c r="H2090" s="3"/>
      <c r="I2090" s="3"/>
      <c r="J2090" s="3"/>
      <c r="K2090" s="3"/>
      <c r="M2090" s="10"/>
      <c r="N2090" s="3"/>
      <c r="O2090" s="3"/>
      <c r="P2090" s="3"/>
    </row>
    <row r="2091" spans="4:16" x14ac:dyDescent="0.25">
      <c r="D2091" s="2"/>
      <c r="F2091" s="3"/>
      <c r="G2091" s="3"/>
      <c r="H2091" s="3"/>
      <c r="I2091" s="3"/>
      <c r="J2091" s="3"/>
      <c r="K2091" s="3"/>
      <c r="M2091" s="10"/>
      <c r="N2091" s="3"/>
      <c r="O2091" s="3"/>
      <c r="P2091" s="3"/>
    </row>
    <row r="2092" spans="4:16" x14ac:dyDescent="0.25">
      <c r="D2092" s="2"/>
      <c r="F2092" s="3"/>
      <c r="G2092" s="3"/>
      <c r="H2092" s="3"/>
      <c r="I2092" s="3"/>
      <c r="J2092" s="3"/>
      <c r="K2092" s="3"/>
      <c r="M2092" s="10"/>
      <c r="N2092" s="3"/>
      <c r="O2092" s="3"/>
      <c r="P2092" s="3"/>
    </row>
    <row r="2093" spans="4:16" x14ac:dyDescent="0.25">
      <c r="D2093" s="2"/>
      <c r="F2093" s="3"/>
      <c r="G2093" s="3"/>
      <c r="H2093" s="3"/>
      <c r="I2093" s="3"/>
      <c r="J2093" s="3"/>
      <c r="K2093" s="3"/>
      <c r="M2093" s="10"/>
      <c r="N2093" s="3"/>
      <c r="O2093" s="3"/>
      <c r="P2093" s="3"/>
    </row>
    <row r="2094" spans="4:16" x14ac:dyDescent="0.25">
      <c r="D2094" s="2"/>
      <c r="F2094" s="3"/>
      <c r="G2094" s="3"/>
      <c r="H2094" s="3"/>
      <c r="I2094" s="3"/>
      <c r="J2094" s="3"/>
      <c r="K2094" s="3"/>
      <c r="M2094" s="10"/>
      <c r="N2094" s="3"/>
      <c r="O2094" s="3"/>
      <c r="P2094" s="3"/>
    </row>
    <row r="2095" spans="4:16" x14ac:dyDescent="0.25">
      <c r="D2095" s="2"/>
      <c r="F2095" s="3"/>
      <c r="G2095" s="3"/>
      <c r="H2095" s="3"/>
      <c r="I2095" s="3"/>
      <c r="J2095" s="3"/>
      <c r="K2095" s="3"/>
      <c r="M2095" s="10"/>
      <c r="N2095" s="3"/>
      <c r="O2095" s="3"/>
      <c r="P2095" s="3"/>
    </row>
    <row r="2096" spans="4:16" x14ac:dyDescent="0.25">
      <c r="D2096" s="2"/>
      <c r="F2096" s="3"/>
      <c r="G2096" s="3"/>
      <c r="H2096" s="3"/>
      <c r="I2096" s="3"/>
      <c r="J2096" s="3"/>
      <c r="K2096" s="3"/>
      <c r="M2096" s="10"/>
      <c r="N2096" s="3"/>
      <c r="O2096" s="3"/>
      <c r="P2096" s="3"/>
    </row>
    <row r="2097" spans="4:16" x14ac:dyDescent="0.25">
      <c r="D2097" s="2"/>
      <c r="F2097" s="3"/>
      <c r="G2097" s="3"/>
      <c r="H2097" s="3"/>
      <c r="I2097" s="3"/>
      <c r="J2097" s="3"/>
      <c r="K2097" s="3"/>
      <c r="M2097" s="10"/>
      <c r="N2097" s="3"/>
      <c r="O2097" s="3"/>
      <c r="P2097" s="3"/>
    </row>
    <row r="2098" spans="4:16" x14ac:dyDescent="0.25">
      <c r="D2098" s="2"/>
      <c r="F2098" s="3"/>
      <c r="G2098" s="3"/>
      <c r="H2098" s="3"/>
      <c r="I2098" s="3"/>
      <c r="J2098" s="3"/>
      <c r="K2098" s="3"/>
      <c r="M2098" s="10"/>
      <c r="N2098" s="3"/>
      <c r="O2098" s="3"/>
      <c r="P2098" s="3"/>
    </row>
    <row r="2099" spans="4:16" x14ac:dyDescent="0.25">
      <c r="D2099" s="2"/>
      <c r="F2099" s="3"/>
      <c r="G2099" s="3"/>
      <c r="H2099" s="3"/>
      <c r="I2099" s="3"/>
      <c r="J2099" s="3"/>
      <c r="K2099" s="3"/>
      <c r="M2099" s="10"/>
      <c r="N2099" s="3"/>
      <c r="O2099" s="3"/>
      <c r="P2099" s="3"/>
    </row>
    <row r="2100" spans="4:16" x14ac:dyDescent="0.25">
      <c r="D2100" s="2"/>
      <c r="F2100" s="3"/>
      <c r="G2100" s="3"/>
      <c r="H2100" s="3"/>
      <c r="I2100" s="3"/>
      <c r="J2100" s="3"/>
      <c r="K2100" s="3"/>
      <c r="M2100" s="10"/>
      <c r="N2100" s="3"/>
      <c r="O2100" s="3"/>
      <c r="P2100" s="3"/>
    </row>
    <row r="2101" spans="4:16" x14ac:dyDescent="0.25">
      <c r="D2101" s="2"/>
      <c r="F2101" s="3"/>
      <c r="G2101" s="3"/>
      <c r="H2101" s="3"/>
      <c r="I2101" s="3"/>
      <c r="J2101" s="3"/>
      <c r="K2101" s="3"/>
      <c r="M2101" s="10"/>
      <c r="N2101" s="3"/>
      <c r="O2101" s="3"/>
      <c r="P2101" s="3"/>
    </row>
    <row r="2102" spans="4:16" x14ac:dyDescent="0.25">
      <c r="D2102" s="2"/>
      <c r="F2102" s="3"/>
      <c r="G2102" s="3"/>
      <c r="H2102" s="3"/>
      <c r="I2102" s="3"/>
      <c r="J2102" s="3"/>
      <c r="K2102" s="3"/>
      <c r="M2102" s="10"/>
      <c r="N2102" s="3"/>
      <c r="O2102" s="3"/>
      <c r="P2102" s="3"/>
    </row>
    <row r="2103" spans="4:16" x14ac:dyDescent="0.25">
      <c r="D2103" s="2"/>
      <c r="F2103" s="3"/>
      <c r="G2103" s="3"/>
      <c r="H2103" s="3"/>
      <c r="I2103" s="3"/>
      <c r="J2103" s="3"/>
      <c r="K2103" s="3"/>
      <c r="M2103" s="10"/>
      <c r="N2103" s="3"/>
      <c r="O2103" s="3"/>
      <c r="P2103" s="3"/>
    </row>
    <row r="2104" spans="4:16" x14ac:dyDescent="0.25">
      <c r="D2104" s="2"/>
      <c r="F2104" s="3"/>
      <c r="G2104" s="3"/>
      <c r="H2104" s="3"/>
      <c r="I2104" s="3"/>
      <c r="J2104" s="3"/>
      <c r="K2104" s="3"/>
      <c r="M2104" s="10"/>
      <c r="N2104" s="3"/>
      <c r="O2104" s="3"/>
      <c r="P2104" s="3"/>
    </row>
    <row r="2105" spans="4:16" x14ac:dyDescent="0.25">
      <c r="D2105" s="2"/>
      <c r="F2105" s="3"/>
      <c r="G2105" s="3"/>
      <c r="H2105" s="3"/>
      <c r="I2105" s="3"/>
      <c r="J2105" s="3"/>
      <c r="K2105" s="3"/>
      <c r="M2105" s="10"/>
      <c r="N2105" s="3"/>
      <c r="O2105" s="3"/>
      <c r="P2105" s="3"/>
    </row>
    <row r="2106" spans="4:16" x14ac:dyDescent="0.25">
      <c r="D2106" s="2"/>
      <c r="F2106" s="3"/>
      <c r="G2106" s="3"/>
      <c r="H2106" s="3"/>
      <c r="I2106" s="3"/>
      <c r="J2106" s="3"/>
      <c r="K2106" s="3"/>
      <c r="M2106" s="10"/>
      <c r="N2106" s="3"/>
      <c r="O2106" s="3"/>
      <c r="P2106" s="3"/>
    </row>
    <row r="2107" spans="4:16" x14ac:dyDescent="0.25">
      <c r="D2107" s="2"/>
      <c r="F2107" s="3"/>
      <c r="G2107" s="3"/>
      <c r="H2107" s="3"/>
      <c r="I2107" s="3"/>
      <c r="J2107" s="3"/>
      <c r="K2107" s="3"/>
      <c r="M2107" s="10"/>
      <c r="N2107" s="3"/>
      <c r="O2107" s="3"/>
      <c r="P2107" s="3"/>
    </row>
    <row r="2108" spans="4:16" x14ac:dyDescent="0.25">
      <c r="D2108" s="2"/>
      <c r="F2108" s="3"/>
      <c r="G2108" s="3"/>
      <c r="H2108" s="3"/>
      <c r="I2108" s="3"/>
      <c r="J2108" s="3"/>
      <c r="K2108" s="3"/>
      <c r="M2108" s="10"/>
      <c r="N2108" s="3"/>
      <c r="O2108" s="3"/>
      <c r="P2108" s="3"/>
    </row>
    <row r="2109" spans="4:16" x14ac:dyDescent="0.25">
      <c r="D2109" s="2"/>
      <c r="F2109" s="3"/>
      <c r="G2109" s="3"/>
      <c r="H2109" s="3"/>
      <c r="I2109" s="3"/>
      <c r="J2109" s="3"/>
      <c r="K2109" s="3"/>
      <c r="M2109" s="10"/>
      <c r="N2109" s="3"/>
      <c r="O2109" s="3"/>
      <c r="P2109" s="3"/>
    </row>
    <row r="2110" spans="4:16" x14ac:dyDescent="0.25">
      <c r="D2110" s="2"/>
      <c r="F2110" s="3"/>
      <c r="G2110" s="3"/>
      <c r="H2110" s="3"/>
      <c r="I2110" s="3"/>
      <c r="J2110" s="3"/>
      <c r="K2110" s="3"/>
      <c r="M2110" s="10"/>
      <c r="N2110" s="3"/>
      <c r="O2110" s="3"/>
      <c r="P2110" s="3"/>
    </row>
    <row r="2111" spans="4:16" x14ac:dyDescent="0.25">
      <c r="D2111" s="2"/>
      <c r="F2111" s="3"/>
      <c r="G2111" s="3"/>
      <c r="H2111" s="3"/>
      <c r="I2111" s="3"/>
      <c r="J2111" s="3"/>
      <c r="K2111" s="3"/>
      <c r="M2111" s="10"/>
      <c r="N2111" s="3"/>
      <c r="O2111" s="3"/>
      <c r="P2111" s="3"/>
    </row>
    <row r="2112" spans="4:16" x14ac:dyDescent="0.25">
      <c r="D2112" s="2"/>
      <c r="F2112" s="3"/>
      <c r="G2112" s="3"/>
      <c r="H2112" s="3"/>
      <c r="I2112" s="3"/>
      <c r="J2112" s="3"/>
      <c r="K2112" s="3"/>
      <c r="M2112" s="10"/>
      <c r="N2112" s="3"/>
      <c r="O2112" s="3"/>
      <c r="P2112" s="3"/>
    </row>
    <row r="2113" spans="4:16" x14ac:dyDescent="0.25">
      <c r="D2113" s="2"/>
      <c r="F2113" s="3"/>
      <c r="G2113" s="3"/>
      <c r="H2113" s="3"/>
      <c r="I2113" s="3"/>
      <c r="J2113" s="3"/>
      <c r="K2113" s="3"/>
      <c r="M2113" s="10"/>
      <c r="N2113" s="3"/>
      <c r="O2113" s="3"/>
      <c r="P2113" s="3"/>
    </row>
    <row r="2114" spans="4:16" x14ac:dyDescent="0.25">
      <c r="D2114" s="2"/>
      <c r="F2114" s="3"/>
      <c r="G2114" s="3"/>
      <c r="H2114" s="3"/>
      <c r="I2114" s="3"/>
      <c r="J2114" s="3"/>
      <c r="K2114" s="3"/>
      <c r="M2114" s="10"/>
      <c r="N2114" s="3"/>
      <c r="O2114" s="3"/>
      <c r="P2114" s="3"/>
    </row>
    <row r="2115" spans="4:16" x14ac:dyDescent="0.25">
      <c r="D2115" s="2"/>
      <c r="F2115" s="3"/>
      <c r="G2115" s="3"/>
      <c r="H2115" s="3"/>
      <c r="I2115" s="3"/>
      <c r="J2115" s="3"/>
      <c r="K2115" s="3"/>
      <c r="M2115" s="10"/>
      <c r="N2115" s="3"/>
      <c r="O2115" s="3"/>
      <c r="P2115" s="3"/>
    </row>
    <row r="2116" spans="4:16" x14ac:dyDescent="0.25">
      <c r="D2116" s="2"/>
      <c r="F2116" s="3"/>
      <c r="G2116" s="3"/>
      <c r="H2116" s="3"/>
      <c r="I2116" s="3"/>
      <c r="J2116" s="3"/>
      <c r="K2116" s="3"/>
      <c r="M2116" s="10"/>
      <c r="N2116" s="3"/>
      <c r="O2116" s="3"/>
      <c r="P2116" s="3"/>
    </row>
    <row r="2117" spans="4:16" x14ac:dyDescent="0.25">
      <c r="D2117" s="2"/>
      <c r="F2117" s="3"/>
      <c r="G2117" s="3"/>
      <c r="H2117" s="3"/>
      <c r="I2117" s="3"/>
      <c r="J2117" s="3"/>
      <c r="K2117" s="3"/>
      <c r="M2117" s="10"/>
      <c r="N2117" s="3"/>
      <c r="O2117" s="3"/>
      <c r="P2117" s="3"/>
    </row>
    <row r="2118" spans="4:16" x14ac:dyDescent="0.25">
      <c r="D2118" s="2"/>
      <c r="F2118" s="3"/>
      <c r="G2118" s="3"/>
      <c r="H2118" s="3"/>
      <c r="I2118" s="3"/>
      <c r="J2118" s="3"/>
      <c r="K2118" s="3"/>
      <c r="M2118" s="10"/>
      <c r="N2118" s="3"/>
      <c r="O2118" s="3"/>
      <c r="P2118" s="3"/>
    </row>
    <row r="2119" spans="4:16" x14ac:dyDescent="0.25">
      <c r="D2119" s="2"/>
      <c r="F2119" s="3"/>
      <c r="G2119" s="3"/>
      <c r="H2119" s="3"/>
      <c r="I2119" s="3"/>
      <c r="J2119" s="3"/>
      <c r="K2119" s="3"/>
      <c r="M2119" s="10"/>
      <c r="N2119" s="3"/>
      <c r="O2119" s="3"/>
      <c r="P2119" s="3"/>
    </row>
    <row r="2120" spans="4:16" x14ac:dyDescent="0.25">
      <c r="D2120" s="2"/>
      <c r="F2120" s="3"/>
      <c r="G2120" s="3"/>
      <c r="H2120" s="3"/>
      <c r="I2120" s="3"/>
      <c r="J2120" s="3"/>
      <c r="K2120" s="3"/>
      <c r="M2120" s="10"/>
      <c r="N2120" s="3"/>
      <c r="O2120" s="3"/>
      <c r="P2120" s="3"/>
    </row>
    <row r="2121" spans="4:16" x14ac:dyDescent="0.25">
      <c r="D2121" s="2"/>
      <c r="F2121" s="3"/>
      <c r="G2121" s="3"/>
      <c r="H2121" s="3"/>
      <c r="I2121" s="3"/>
      <c r="J2121" s="3"/>
      <c r="K2121" s="3"/>
      <c r="M2121" s="10"/>
      <c r="N2121" s="3"/>
      <c r="O2121" s="3"/>
      <c r="P2121" s="3"/>
    </row>
    <row r="2122" spans="4:16" x14ac:dyDescent="0.25">
      <c r="D2122" s="2"/>
      <c r="F2122" s="3"/>
      <c r="G2122" s="3"/>
      <c r="H2122" s="3"/>
      <c r="I2122" s="3"/>
      <c r="J2122" s="3"/>
      <c r="K2122" s="3"/>
      <c r="M2122" s="10"/>
      <c r="N2122" s="3"/>
      <c r="O2122" s="3"/>
      <c r="P2122" s="3"/>
    </row>
    <row r="2123" spans="4:16" x14ac:dyDescent="0.25">
      <c r="D2123" s="2"/>
      <c r="F2123" s="3"/>
      <c r="G2123" s="3"/>
      <c r="H2123" s="3"/>
      <c r="I2123" s="3"/>
      <c r="J2123" s="3"/>
      <c r="K2123" s="3"/>
      <c r="M2123" s="10"/>
      <c r="N2123" s="3"/>
      <c r="O2123" s="3"/>
      <c r="P2123" s="3"/>
    </row>
    <row r="2124" spans="4:16" x14ac:dyDescent="0.25">
      <c r="D2124" s="2"/>
      <c r="F2124" s="3"/>
      <c r="G2124" s="3"/>
      <c r="H2124" s="3"/>
      <c r="I2124" s="3"/>
      <c r="J2124" s="3"/>
      <c r="K2124" s="3"/>
      <c r="M2124" s="10"/>
      <c r="N2124" s="3"/>
      <c r="O2124" s="3"/>
      <c r="P2124" s="3"/>
    </row>
    <row r="2125" spans="4:16" x14ac:dyDescent="0.25">
      <c r="D2125" s="2"/>
      <c r="F2125" s="3"/>
      <c r="G2125" s="3"/>
      <c r="H2125" s="3"/>
      <c r="I2125" s="3"/>
      <c r="J2125" s="3"/>
      <c r="K2125" s="3"/>
      <c r="M2125" s="10"/>
      <c r="N2125" s="3"/>
      <c r="O2125" s="3"/>
      <c r="P2125" s="3"/>
    </row>
    <row r="2126" spans="4:16" x14ac:dyDescent="0.25">
      <c r="D2126" s="2"/>
      <c r="F2126" s="3"/>
      <c r="G2126" s="3"/>
      <c r="H2126" s="3"/>
      <c r="I2126" s="3"/>
      <c r="J2126" s="3"/>
      <c r="K2126" s="3"/>
      <c r="M2126" s="10"/>
      <c r="N2126" s="3"/>
      <c r="O2126" s="3"/>
      <c r="P2126" s="3"/>
    </row>
    <row r="2127" spans="4:16" x14ac:dyDescent="0.25">
      <c r="D2127" s="2"/>
      <c r="F2127" s="3"/>
      <c r="G2127" s="3"/>
      <c r="H2127" s="3"/>
      <c r="I2127" s="3"/>
      <c r="J2127" s="3"/>
      <c r="K2127" s="3"/>
      <c r="M2127" s="10"/>
      <c r="N2127" s="3"/>
      <c r="O2127" s="3"/>
      <c r="P2127" s="3"/>
    </row>
    <row r="2128" spans="4:16" x14ac:dyDescent="0.25">
      <c r="D2128" s="2"/>
      <c r="F2128" s="3"/>
      <c r="G2128" s="3"/>
      <c r="H2128" s="3"/>
      <c r="I2128" s="3"/>
      <c r="J2128" s="3"/>
      <c r="K2128" s="3"/>
      <c r="M2128" s="10"/>
      <c r="N2128" s="3"/>
      <c r="O2128" s="3"/>
      <c r="P2128" s="3"/>
    </row>
    <row r="2129" spans="4:16" x14ac:dyDescent="0.25">
      <c r="D2129" s="2"/>
      <c r="F2129" s="3"/>
      <c r="G2129" s="3"/>
      <c r="H2129" s="3"/>
      <c r="I2129" s="3"/>
      <c r="J2129" s="3"/>
      <c r="K2129" s="3"/>
      <c r="M2129" s="10"/>
      <c r="N2129" s="3"/>
      <c r="O2129" s="3"/>
      <c r="P2129" s="3"/>
    </row>
    <row r="2130" spans="4:16" x14ac:dyDescent="0.25">
      <c r="D2130" s="2"/>
      <c r="F2130" s="3"/>
      <c r="G2130" s="3"/>
      <c r="H2130" s="3"/>
      <c r="I2130" s="3"/>
      <c r="J2130" s="3"/>
      <c r="K2130" s="3"/>
      <c r="M2130" s="10"/>
      <c r="N2130" s="3"/>
      <c r="O2130" s="3"/>
      <c r="P2130" s="3"/>
    </row>
    <row r="2131" spans="4:16" x14ac:dyDescent="0.25">
      <c r="D2131" s="2"/>
      <c r="F2131" s="3"/>
      <c r="G2131" s="3"/>
      <c r="H2131" s="3"/>
      <c r="I2131" s="3"/>
      <c r="J2131" s="3"/>
      <c r="K2131" s="3"/>
      <c r="M2131" s="10"/>
      <c r="N2131" s="3"/>
      <c r="O2131" s="3"/>
      <c r="P2131" s="3"/>
    </row>
    <row r="2132" spans="4:16" x14ac:dyDescent="0.25">
      <c r="D2132" s="2"/>
      <c r="F2132" s="3"/>
      <c r="G2132" s="3"/>
      <c r="H2132" s="3"/>
      <c r="I2132" s="3"/>
      <c r="J2132" s="3"/>
      <c r="K2132" s="3"/>
      <c r="M2132" s="10"/>
      <c r="N2132" s="3"/>
      <c r="O2132" s="3"/>
      <c r="P2132" s="3"/>
    </row>
    <row r="2133" spans="4:16" x14ac:dyDescent="0.25">
      <c r="D2133" s="2"/>
      <c r="F2133" s="3"/>
      <c r="G2133" s="3"/>
      <c r="H2133" s="3"/>
      <c r="I2133" s="3"/>
      <c r="J2133" s="3"/>
      <c r="K2133" s="3"/>
      <c r="M2133" s="10"/>
      <c r="N2133" s="3"/>
      <c r="O2133" s="3"/>
      <c r="P2133" s="3"/>
    </row>
    <row r="2134" spans="4:16" x14ac:dyDescent="0.25">
      <c r="D2134" s="2"/>
      <c r="F2134" s="3"/>
      <c r="G2134" s="3"/>
      <c r="H2134" s="3"/>
      <c r="I2134" s="3"/>
      <c r="J2134" s="3"/>
      <c r="K2134" s="3"/>
      <c r="M2134" s="10"/>
      <c r="N2134" s="3"/>
      <c r="O2134" s="3"/>
      <c r="P2134" s="3"/>
    </row>
    <row r="2135" spans="4:16" x14ac:dyDescent="0.25">
      <c r="D2135" s="2"/>
      <c r="F2135" s="3"/>
      <c r="G2135" s="3"/>
      <c r="H2135" s="3"/>
      <c r="I2135" s="3"/>
      <c r="J2135" s="3"/>
      <c r="K2135" s="3"/>
      <c r="M2135" s="10"/>
      <c r="N2135" s="3"/>
      <c r="O2135" s="3"/>
      <c r="P2135" s="3"/>
    </row>
    <row r="2136" spans="4:16" x14ac:dyDescent="0.25">
      <c r="D2136" s="2"/>
      <c r="F2136" s="3"/>
      <c r="G2136" s="3"/>
      <c r="H2136" s="3"/>
      <c r="I2136" s="3"/>
      <c r="J2136" s="3"/>
      <c r="K2136" s="3"/>
      <c r="M2136" s="10"/>
      <c r="N2136" s="3"/>
      <c r="O2136" s="3"/>
      <c r="P2136" s="3"/>
    </row>
    <row r="2137" spans="4:16" x14ac:dyDescent="0.25">
      <c r="D2137" s="2"/>
      <c r="F2137" s="3"/>
      <c r="G2137" s="3"/>
      <c r="H2137" s="3"/>
      <c r="I2137" s="3"/>
      <c r="J2137" s="3"/>
      <c r="K2137" s="3"/>
      <c r="M2137" s="10"/>
      <c r="N2137" s="3"/>
      <c r="O2137" s="3"/>
      <c r="P2137" s="3"/>
    </row>
    <row r="2138" spans="4:16" x14ac:dyDescent="0.25">
      <c r="D2138" s="2"/>
      <c r="F2138" s="3"/>
      <c r="G2138" s="3"/>
      <c r="H2138" s="3"/>
      <c r="I2138" s="3"/>
      <c r="J2138" s="3"/>
      <c r="K2138" s="3"/>
      <c r="M2138" s="10"/>
      <c r="N2138" s="3"/>
      <c r="O2138" s="3"/>
      <c r="P2138" s="3"/>
    </row>
    <row r="2139" spans="4:16" x14ac:dyDescent="0.25">
      <c r="D2139" s="2"/>
      <c r="F2139" s="3"/>
      <c r="G2139" s="3"/>
      <c r="H2139" s="3"/>
      <c r="I2139" s="3"/>
      <c r="J2139" s="3"/>
      <c r="K2139" s="3"/>
      <c r="M2139" s="10"/>
      <c r="N2139" s="3"/>
      <c r="O2139" s="3"/>
      <c r="P2139" s="3"/>
    </row>
    <row r="2140" spans="4:16" x14ac:dyDescent="0.25">
      <c r="D2140" s="2"/>
      <c r="F2140" s="3"/>
      <c r="G2140" s="3"/>
      <c r="H2140" s="3"/>
      <c r="I2140" s="3"/>
      <c r="J2140" s="3"/>
      <c r="K2140" s="3"/>
      <c r="M2140" s="10"/>
      <c r="N2140" s="3"/>
      <c r="O2140" s="3"/>
      <c r="P2140" s="3"/>
    </row>
    <row r="2141" spans="4:16" x14ac:dyDescent="0.25">
      <c r="D2141" s="2"/>
      <c r="F2141" s="3"/>
      <c r="G2141" s="3"/>
      <c r="H2141" s="3"/>
      <c r="I2141" s="3"/>
      <c r="J2141" s="3"/>
      <c r="K2141" s="3"/>
      <c r="M2141" s="10"/>
      <c r="N2141" s="3"/>
      <c r="O2141" s="3"/>
      <c r="P2141" s="3"/>
    </row>
    <row r="2142" spans="4:16" x14ac:dyDescent="0.25">
      <c r="D2142" s="2"/>
      <c r="F2142" s="3"/>
      <c r="G2142" s="3"/>
      <c r="H2142" s="3"/>
      <c r="I2142" s="3"/>
      <c r="J2142" s="3"/>
      <c r="K2142" s="3"/>
      <c r="M2142" s="10"/>
      <c r="N2142" s="3"/>
      <c r="O2142" s="3"/>
      <c r="P2142" s="3"/>
    </row>
    <row r="2143" spans="4:16" x14ac:dyDescent="0.25">
      <c r="D2143" s="2"/>
      <c r="F2143" s="3"/>
      <c r="G2143" s="3"/>
      <c r="H2143" s="3"/>
      <c r="I2143" s="3"/>
      <c r="J2143" s="3"/>
      <c r="K2143" s="3"/>
      <c r="M2143" s="10"/>
      <c r="N2143" s="3"/>
      <c r="O2143" s="3"/>
      <c r="P2143" s="3"/>
    </row>
    <row r="2144" spans="4:16" x14ac:dyDescent="0.25">
      <c r="D2144" s="2"/>
      <c r="F2144" s="3"/>
      <c r="G2144" s="3"/>
      <c r="H2144" s="3"/>
      <c r="I2144" s="3"/>
      <c r="J2144" s="3"/>
      <c r="K2144" s="3"/>
      <c r="M2144" s="10"/>
      <c r="N2144" s="3"/>
      <c r="O2144" s="3"/>
      <c r="P2144" s="3"/>
    </row>
    <row r="2145" spans="4:16" x14ac:dyDescent="0.25">
      <c r="D2145" s="2"/>
      <c r="F2145" s="3"/>
      <c r="G2145" s="3"/>
      <c r="H2145" s="3"/>
      <c r="I2145" s="3"/>
      <c r="J2145" s="3"/>
      <c r="K2145" s="3"/>
      <c r="M2145" s="10"/>
      <c r="N2145" s="3"/>
      <c r="O2145" s="3"/>
      <c r="P2145" s="3"/>
    </row>
    <row r="2146" spans="4:16" x14ac:dyDescent="0.25">
      <c r="D2146" s="2"/>
      <c r="F2146" s="3"/>
      <c r="G2146" s="3"/>
      <c r="H2146" s="3"/>
      <c r="I2146" s="3"/>
      <c r="J2146" s="3"/>
      <c r="K2146" s="3"/>
      <c r="M2146" s="10"/>
      <c r="N2146" s="3"/>
      <c r="O2146" s="3"/>
      <c r="P2146" s="3"/>
    </row>
    <row r="2147" spans="4:16" x14ac:dyDescent="0.25">
      <c r="D2147" s="2"/>
      <c r="F2147" s="3"/>
      <c r="G2147" s="3"/>
      <c r="H2147" s="3"/>
      <c r="I2147" s="3"/>
      <c r="J2147" s="3"/>
      <c r="K2147" s="3"/>
      <c r="M2147" s="10"/>
      <c r="N2147" s="3"/>
      <c r="O2147" s="3"/>
      <c r="P2147" s="3"/>
    </row>
    <row r="2148" spans="4:16" x14ac:dyDescent="0.25">
      <c r="D2148" s="2"/>
      <c r="F2148" s="3"/>
      <c r="G2148" s="3"/>
      <c r="H2148" s="3"/>
      <c r="I2148" s="3"/>
      <c r="J2148" s="3"/>
      <c r="K2148" s="3"/>
      <c r="M2148" s="10"/>
      <c r="N2148" s="3"/>
      <c r="O2148" s="3"/>
      <c r="P2148" s="3"/>
    </row>
    <row r="2149" spans="4:16" x14ac:dyDescent="0.25">
      <c r="D2149" s="2"/>
      <c r="F2149" s="3"/>
      <c r="G2149" s="3"/>
      <c r="H2149" s="3"/>
      <c r="I2149" s="3"/>
      <c r="J2149" s="3"/>
      <c r="K2149" s="3"/>
      <c r="M2149" s="10"/>
      <c r="N2149" s="3"/>
      <c r="O2149" s="3"/>
      <c r="P2149" s="3"/>
    </row>
    <row r="2150" spans="4:16" x14ac:dyDescent="0.25">
      <c r="D2150" s="2"/>
      <c r="F2150" s="3"/>
      <c r="G2150" s="3"/>
      <c r="H2150" s="3"/>
      <c r="I2150" s="3"/>
      <c r="J2150" s="3"/>
      <c r="K2150" s="3"/>
      <c r="M2150" s="10"/>
      <c r="N2150" s="3"/>
      <c r="O2150" s="3"/>
      <c r="P2150" s="3"/>
    </row>
    <row r="2151" spans="4:16" x14ac:dyDescent="0.25">
      <c r="D2151" s="2"/>
      <c r="F2151" s="3"/>
      <c r="G2151" s="3"/>
      <c r="H2151" s="3"/>
      <c r="I2151" s="3"/>
      <c r="J2151" s="3"/>
      <c r="K2151" s="3"/>
      <c r="M2151" s="10"/>
      <c r="N2151" s="3"/>
      <c r="O2151" s="3"/>
      <c r="P2151" s="3"/>
    </row>
    <row r="2152" spans="4:16" x14ac:dyDescent="0.25">
      <c r="D2152" s="2"/>
      <c r="F2152" s="3"/>
      <c r="G2152" s="3"/>
      <c r="H2152" s="3"/>
      <c r="I2152" s="3"/>
      <c r="J2152" s="3"/>
      <c r="K2152" s="3"/>
      <c r="M2152" s="10"/>
      <c r="N2152" s="3"/>
      <c r="O2152" s="3"/>
      <c r="P2152" s="3"/>
    </row>
    <row r="2153" spans="4:16" x14ac:dyDescent="0.25">
      <c r="D2153" s="2"/>
      <c r="F2153" s="3"/>
      <c r="G2153" s="3"/>
      <c r="H2153" s="3"/>
      <c r="I2153" s="3"/>
      <c r="J2153" s="3"/>
      <c r="K2153" s="3"/>
      <c r="M2153" s="10"/>
      <c r="N2153" s="3"/>
      <c r="O2153" s="3"/>
      <c r="P2153" s="3"/>
    </row>
    <row r="2154" spans="4:16" x14ac:dyDescent="0.25">
      <c r="D2154" s="2"/>
      <c r="F2154" s="3"/>
      <c r="G2154" s="3"/>
      <c r="H2154" s="3"/>
      <c r="I2154" s="3"/>
      <c r="J2154" s="3"/>
      <c r="K2154" s="3"/>
      <c r="M2154" s="10"/>
      <c r="N2154" s="3"/>
      <c r="O2154" s="3"/>
      <c r="P2154" s="3"/>
    </row>
    <row r="2155" spans="4:16" x14ac:dyDescent="0.25">
      <c r="D2155" s="2"/>
      <c r="F2155" s="3"/>
      <c r="G2155" s="3"/>
      <c r="H2155" s="3"/>
      <c r="I2155" s="3"/>
      <c r="J2155" s="3"/>
      <c r="K2155" s="3"/>
      <c r="M2155" s="10"/>
      <c r="N2155" s="3"/>
      <c r="O2155" s="3"/>
      <c r="P2155" s="3"/>
    </row>
    <row r="2156" spans="4:16" x14ac:dyDescent="0.25">
      <c r="D2156" s="2"/>
      <c r="F2156" s="3"/>
      <c r="G2156" s="3"/>
      <c r="H2156" s="3"/>
      <c r="I2156" s="3"/>
      <c r="J2156" s="3"/>
      <c r="K2156" s="3"/>
      <c r="M2156" s="10"/>
      <c r="N2156" s="3"/>
      <c r="O2156" s="3"/>
      <c r="P2156" s="3"/>
    </row>
    <row r="2157" spans="4:16" x14ac:dyDescent="0.25">
      <c r="D2157" s="2"/>
      <c r="F2157" s="3"/>
      <c r="G2157" s="3"/>
      <c r="H2157" s="3"/>
      <c r="I2157" s="3"/>
      <c r="J2157" s="3"/>
      <c r="K2157" s="3"/>
      <c r="M2157" s="10"/>
      <c r="N2157" s="3"/>
      <c r="O2157" s="3"/>
      <c r="P2157" s="3"/>
    </row>
    <row r="2158" spans="4:16" x14ac:dyDescent="0.25">
      <c r="D2158" s="2"/>
      <c r="F2158" s="3"/>
      <c r="G2158" s="3"/>
      <c r="H2158" s="3"/>
      <c r="I2158" s="3"/>
      <c r="J2158" s="3"/>
      <c r="K2158" s="3"/>
      <c r="M2158" s="10"/>
      <c r="N2158" s="3"/>
      <c r="O2158" s="3"/>
      <c r="P2158" s="3"/>
    </row>
    <row r="2159" spans="4:16" x14ac:dyDescent="0.25">
      <c r="D2159" s="2"/>
      <c r="F2159" s="3"/>
      <c r="G2159" s="3"/>
      <c r="H2159" s="3"/>
      <c r="I2159" s="3"/>
      <c r="J2159" s="3"/>
      <c r="K2159" s="3"/>
      <c r="M2159" s="10"/>
      <c r="N2159" s="3"/>
      <c r="O2159" s="3"/>
      <c r="P2159" s="3"/>
    </row>
    <row r="2160" spans="4:16" x14ac:dyDescent="0.25">
      <c r="D2160" s="2"/>
      <c r="F2160" s="3"/>
      <c r="G2160" s="3"/>
      <c r="H2160" s="3"/>
      <c r="I2160" s="3"/>
      <c r="J2160" s="3"/>
      <c r="K2160" s="3"/>
      <c r="M2160" s="10"/>
      <c r="N2160" s="3"/>
      <c r="O2160" s="3"/>
      <c r="P2160" s="3"/>
    </row>
    <row r="2161" spans="4:16" x14ac:dyDescent="0.25">
      <c r="D2161" s="2"/>
      <c r="F2161" s="3"/>
      <c r="G2161" s="3"/>
      <c r="H2161" s="3"/>
      <c r="I2161" s="3"/>
      <c r="J2161" s="3"/>
      <c r="K2161" s="3"/>
      <c r="M2161" s="10"/>
      <c r="N2161" s="3"/>
      <c r="O2161" s="3"/>
      <c r="P2161" s="3"/>
    </row>
    <row r="2162" spans="4:16" x14ac:dyDescent="0.25">
      <c r="D2162" s="2"/>
      <c r="F2162" s="3"/>
      <c r="G2162" s="3"/>
      <c r="H2162" s="3"/>
      <c r="I2162" s="3"/>
      <c r="J2162" s="3"/>
      <c r="K2162" s="3"/>
      <c r="M2162" s="10"/>
      <c r="N2162" s="3"/>
      <c r="O2162" s="3"/>
      <c r="P2162" s="3"/>
    </row>
    <row r="2163" spans="4:16" x14ac:dyDescent="0.25">
      <c r="D2163" s="2"/>
      <c r="F2163" s="3"/>
      <c r="G2163" s="3"/>
      <c r="H2163" s="3"/>
      <c r="I2163" s="3"/>
      <c r="J2163" s="3"/>
      <c r="K2163" s="3"/>
      <c r="M2163" s="10"/>
      <c r="N2163" s="3"/>
      <c r="O2163" s="3"/>
      <c r="P2163" s="3"/>
    </row>
    <row r="2164" spans="4:16" x14ac:dyDescent="0.25">
      <c r="D2164" s="2"/>
      <c r="F2164" s="3"/>
      <c r="G2164" s="3"/>
      <c r="H2164" s="3"/>
      <c r="I2164" s="3"/>
      <c r="J2164" s="3"/>
      <c r="K2164" s="3"/>
      <c r="M2164" s="10"/>
      <c r="N2164" s="3"/>
      <c r="O2164" s="3"/>
      <c r="P2164" s="3"/>
    </row>
    <row r="2165" spans="4:16" x14ac:dyDescent="0.25">
      <c r="D2165" s="2"/>
      <c r="F2165" s="3"/>
      <c r="G2165" s="3"/>
      <c r="H2165" s="3"/>
      <c r="I2165" s="3"/>
      <c r="J2165" s="3"/>
      <c r="K2165" s="3"/>
      <c r="M2165" s="10"/>
      <c r="N2165" s="3"/>
      <c r="O2165" s="3"/>
      <c r="P2165" s="3"/>
    </row>
    <row r="2166" spans="4:16" x14ac:dyDescent="0.25">
      <c r="D2166" s="2"/>
      <c r="F2166" s="3"/>
      <c r="G2166" s="3"/>
      <c r="H2166" s="3"/>
      <c r="I2166" s="3"/>
      <c r="J2166" s="3"/>
      <c r="K2166" s="3"/>
      <c r="M2166" s="10"/>
      <c r="N2166" s="3"/>
      <c r="O2166" s="3"/>
      <c r="P2166" s="3"/>
    </row>
    <row r="2167" spans="4:16" x14ac:dyDescent="0.25">
      <c r="D2167" s="2"/>
      <c r="F2167" s="3"/>
      <c r="G2167" s="3"/>
      <c r="H2167" s="3"/>
      <c r="I2167" s="3"/>
      <c r="J2167" s="3"/>
      <c r="K2167" s="3"/>
      <c r="M2167" s="10"/>
      <c r="N2167" s="3"/>
      <c r="O2167" s="3"/>
      <c r="P2167" s="3"/>
    </row>
    <row r="2168" spans="4:16" x14ac:dyDescent="0.25">
      <c r="D2168" s="2"/>
      <c r="F2168" s="3"/>
      <c r="G2168" s="3"/>
      <c r="H2168" s="3"/>
      <c r="I2168" s="3"/>
      <c r="J2168" s="3"/>
      <c r="K2168" s="3"/>
      <c r="M2168" s="10"/>
      <c r="N2168" s="3"/>
      <c r="O2168" s="3"/>
      <c r="P2168" s="3"/>
    </row>
    <row r="2169" spans="4:16" x14ac:dyDescent="0.25">
      <c r="D2169" s="2"/>
      <c r="F2169" s="3"/>
      <c r="G2169" s="3"/>
      <c r="H2169" s="3"/>
      <c r="I2169" s="3"/>
      <c r="J2169" s="3"/>
      <c r="K2169" s="3"/>
      <c r="M2169" s="10"/>
      <c r="N2169" s="3"/>
      <c r="O2169" s="3"/>
      <c r="P2169" s="3"/>
    </row>
    <row r="2170" spans="4:16" x14ac:dyDescent="0.25">
      <c r="D2170" s="2"/>
      <c r="F2170" s="3"/>
      <c r="G2170" s="3"/>
      <c r="H2170" s="3"/>
      <c r="I2170" s="3"/>
      <c r="J2170" s="3"/>
      <c r="K2170" s="3"/>
      <c r="M2170" s="10"/>
      <c r="N2170" s="3"/>
      <c r="O2170" s="3"/>
      <c r="P2170" s="3"/>
    </row>
    <row r="2171" spans="4:16" x14ac:dyDescent="0.25">
      <c r="D2171" s="2"/>
      <c r="F2171" s="3"/>
      <c r="G2171" s="3"/>
      <c r="H2171" s="3"/>
      <c r="I2171" s="3"/>
      <c r="J2171" s="3"/>
      <c r="K2171" s="3"/>
      <c r="M2171" s="10"/>
      <c r="N2171" s="3"/>
      <c r="O2171" s="3"/>
      <c r="P2171" s="3"/>
    </row>
    <row r="2172" spans="4:16" x14ac:dyDescent="0.25">
      <c r="D2172" s="2"/>
      <c r="F2172" s="3"/>
      <c r="G2172" s="3"/>
      <c r="H2172" s="3"/>
      <c r="I2172" s="3"/>
      <c r="J2172" s="3"/>
      <c r="K2172" s="3"/>
      <c r="M2172" s="10"/>
      <c r="N2172" s="3"/>
      <c r="O2172" s="3"/>
      <c r="P2172" s="3"/>
    </row>
    <row r="2173" spans="4:16" x14ac:dyDescent="0.25">
      <c r="D2173" s="2"/>
      <c r="F2173" s="3"/>
      <c r="G2173" s="3"/>
      <c r="H2173" s="3"/>
      <c r="I2173" s="3"/>
      <c r="J2173" s="3"/>
      <c r="K2173" s="3"/>
      <c r="M2173" s="10"/>
      <c r="N2173" s="3"/>
      <c r="O2173" s="3"/>
      <c r="P2173" s="3"/>
    </row>
    <row r="2174" spans="4:16" x14ac:dyDescent="0.25">
      <c r="D2174" s="2"/>
      <c r="F2174" s="3"/>
      <c r="G2174" s="3"/>
      <c r="H2174" s="3"/>
      <c r="I2174" s="3"/>
      <c r="J2174" s="3"/>
      <c r="K2174" s="3"/>
      <c r="M2174" s="10"/>
      <c r="N2174" s="3"/>
      <c r="O2174" s="3"/>
      <c r="P2174" s="3"/>
    </row>
    <row r="2175" spans="4:16" x14ac:dyDescent="0.25">
      <c r="D2175" s="2"/>
      <c r="F2175" s="3"/>
      <c r="G2175" s="3"/>
      <c r="H2175" s="3"/>
      <c r="I2175" s="3"/>
      <c r="J2175" s="3"/>
      <c r="K2175" s="3"/>
      <c r="M2175" s="10"/>
      <c r="N2175" s="3"/>
      <c r="O2175" s="3"/>
      <c r="P2175" s="3"/>
    </row>
    <row r="2176" spans="4:16" x14ac:dyDescent="0.25">
      <c r="D2176" s="2"/>
      <c r="F2176" s="3"/>
      <c r="G2176" s="3"/>
      <c r="H2176" s="3"/>
      <c r="I2176" s="3"/>
      <c r="J2176" s="3"/>
      <c r="K2176" s="3"/>
      <c r="M2176" s="10"/>
      <c r="N2176" s="3"/>
      <c r="O2176" s="3"/>
      <c r="P2176" s="3"/>
    </row>
    <row r="2177" spans="4:16" x14ac:dyDescent="0.25">
      <c r="D2177" s="2"/>
      <c r="F2177" s="3"/>
      <c r="G2177" s="3"/>
      <c r="H2177" s="3"/>
      <c r="I2177" s="3"/>
      <c r="J2177" s="3"/>
      <c r="K2177" s="3"/>
      <c r="M2177" s="10"/>
      <c r="N2177" s="3"/>
      <c r="O2177" s="3"/>
      <c r="P2177" s="3"/>
    </row>
    <row r="2178" spans="4:16" x14ac:dyDescent="0.25">
      <c r="D2178" s="2"/>
      <c r="F2178" s="3"/>
      <c r="G2178" s="3"/>
      <c r="H2178" s="3"/>
      <c r="I2178" s="3"/>
      <c r="J2178" s="3"/>
      <c r="K2178" s="3"/>
      <c r="M2178" s="10"/>
      <c r="N2178" s="3"/>
      <c r="O2178" s="3"/>
      <c r="P2178" s="3"/>
    </row>
    <row r="2179" spans="4:16" x14ac:dyDescent="0.25">
      <c r="D2179" s="2"/>
      <c r="F2179" s="3"/>
      <c r="G2179" s="3"/>
      <c r="H2179" s="3"/>
      <c r="I2179" s="3"/>
      <c r="J2179" s="3"/>
      <c r="K2179" s="3"/>
      <c r="M2179" s="10"/>
      <c r="N2179" s="3"/>
      <c r="O2179" s="3"/>
      <c r="P2179" s="3"/>
    </row>
    <row r="2180" spans="4:16" x14ac:dyDescent="0.25">
      <c r="D2180" s="2"/>
      <c r="F2180" s="3"/>
      <c r="G2180" s="3"/>
      <c r="H2180" s="3"/>
      <c r="I2180" s="3"/>
      <c r="J2180" s="3"/>
      <c r="K2180" s="3"/>
      <c r="M2180" s="10"/>
      <c r="N2180" s="3"/>
      <c r="O2180" s="3"/>
      <c r="P2180" s="3"/>
    </row>
    <row r="2181" spans="4:16" x14ac:dyDescent="0.25">
      <c r="D2181" s="2"/>
      <c r="F2181" s="3"/>
      <c r="G2181" s="3"/>
      <c r="H2181" s="3"/>
      <c r="I2181" s="3"/>
      <c r="J2181" s="3"/>
      <c r="K2181" s="3"/>
      <c r="M2181" s="10"/>
      <c r="N2181" s="3"/>
      <c r="O2181" s="3"/>
      <c r="P2181" s="3"/>
    </row>
    <row r="2182" spans="4:16" x14ac:dyDescent="0.25">
      <c r="D2182" s="2"/>
      <c r="F2182" s="3"/>
      <c r="G2182" s="3"/>
      <c r="H2182" s="3"/>
      <c r="I2182" s="3"/>
      <c r="J2182" s="3"/>
      <c r="K2182" s="3"/>
      <c r="M2182" s="10"/>
      <c r="N2182" s="3"/>
      <c r="O2182" s="3"/>
      <c r="P2182" s="3"/>
    </row>
    <row r="2183" spans="4:16" x14ac:dyDescent="0.25">
      <c r="D2183" s="2"/>
      <c r="F2183" s="3"/>
      <c r="G2183" s="3"/>
      <c r="H2183" s="3"/>
      <c r="I2183" s="3"/>
      <c r="J2183" s="3"/>
      <c r="K2183" s="3"/>
      <c r="M2183" s="10"/>
      <c r="N2183" s="3"/>
      <c r="O2183" s="3"/>
      <c r="P2183" s="3"/>
    </row>
    <row r="2184" spans="4:16" x14ac:dyDescent="0.25">
      <c r="D2184" s="2"/>
      <c r="F2184" s="3"/>
      <c r="G2184" s="3"/>
      <c r="H2184" s="3"/>
      <c r="I2184" s="3"/>
      <c r="J2184" s="3"/>
      <c r="K2184" s="3"/>
      <c r="M2184" s="10"/>
      <c r="N2184" s="3"/>
      <c r="O2184" s="3"/>
      <c r="P2184" s="3"/>
    </row>
    <row r="2185" spans="4:16" x14ac:dyDescent="0.25">
      <c r="D2185" s="2"/>
      <c r="F2185" s="3"/>
      <c r="G2185" s="3"/>
      <c r="H2185" s="3"/>
      <c r="I2185" s="3"/>
      <c r="J2185" s="3"/>
      <c r="K2185" s="3"/>
      <c r="M2185" s="10"/>
      <c r="N2185" s="3"/>
      <c r="O2185" s="3"/>
      <c r="P2185" s="3"/>
    </row>
    <row r="2186" spans="4:16" x14ac:dyDescent="0.25">
      <c r="D2186" s="2"/>
      <c r="F2186" s="3"/>
      <c r="G2186" s="3"/>
      <c r="H2186" s="3"/>
      <c r="I2186" s="3"/>
      <c r="J2186" s="3"/>
      <c r="K2186" s="3"/>
      <c r="M2186" s="10"/>
      <c r="N2186" s="3"/>
      <c r="O2186" s="3"/>
      <c r="P2186" s="3"/>
    </row>
    <row r="2187" spans="4:16" x14ac:dyDescent="0.25">
      <c r="D2187" s="2"/>
      <c r="F2187" s="3"/>
      <c r="G2187" s="3"/>
      <c r="H2187" s="3"/>
      <c r="I2187" s="3"/>
      <c r="J2187" s="3"/>
      <c r="K2187" s="3"/>
      <c r="M2187" s="10"/>
      <c r="N2187" s="3"/>
      <c r="O2187" s="3"/>
      <c r="P2187" s="3"/>
    </row>
    <row r="2188" spans="4:16" x14ac:dyDescent="0.25">
      <c r="D2188" s="2"/>
      <c r="F2188" s="3"/>
      <c r="G2188" s="3"/>
      <c r="H2188" s="3"/>
      <c r="I2188" s="3"/>
      <c r="J2188" s="3"/>
      <c r="K2188" s="3"/>
      <c r="M2188" s="10"/>
      <c r="N2188" s="3"/>
      <c r="O2188" s="3"/>
      <c r="P2188" s="3"/>
    </row>
    <row r="2189" spans="4:16" x14ac:dyDescent="0.25">
      <c r="D2189" s="2"/>
      <c r="F2189" s="3"/>
      <c r="G2189" s="3"/>
      <c r="H2189" s="3"/>
      <c r="I2189" s="3"/>
      <c r="J2189" s="3"/>
      <c r="K2189" s="3"/>
      <c r="M2189" s="10"/>
      <c r="N2189" s="3"/>
      <c r="O2189" s="3"/>
      <c r="P2189" s="3"/>
    </row>
    <row r="2190" spans="4:16" x14ac:dyDescent="0.25">
      <c r="D2190" s="2"/>
      <c r="F2190" s="3"/>
      <c r="G2190" s="3"/>
      <c r="H2190" s="3"/>
      <c r="I2190" s="3"/>
      <c r="J2190" s="3"/>
      <c r="K2190" s="3"/>
      <c r="M2190" s="10"/>
      <c r="N2190" s="3"/>
      <c r="O2190" s="3"/>
      <c r="P2190" s="3"/>
    </row>
    <row r="2191" spans="4:16" x14ac:dyDescent="0.25">
      <c r="D2191" s="2"/>
      <c r="F2191" s="3"/>
      <c r="G2191" s="3"/>
      <c r="H2191" s="3"/>
      <c r="I2191" s="3"/>
      <c r="J2191" s="3"/>
      <c r="K2191" s="3"/>
      <c r="M2191" s="10"/>
      <c r="N2191" s="3"/>
      <c r="O2191" s="3"/>
      <c r="P2191" s="3"/>
    </row>
    <row r="2192" spans="4:16" x14ac:dyDescent="0.25">
      <c r="D2192" s="2"/>
      <c r="F2192" s="3"/>
      <c r="G2192" s="3"/>
      <c r="H2192" s="3"/>
      <c r="I2192" s="3"/>
      <c r="J2192" s="3"/>
      <c r="K2192" s="3"/>
      <c r="M2192" s="10"/>
      <c r="N2192" s="3"/>
      <c r="O2192" s="3"/>
      <c r="P2192" s="3"/>
    </row>
    <row r="2193" spans="4:16" x14ac:dyDescent="0.25">
      <c r="D2193" s="2"/>
      <c r="F2193" s="3"/>
      <c r="G2193" s="3"/>
      <c r="H2193" s="3"/>
      <c r="I2193" s="3"/>
      <c r="J2193" s="3"/>
      <c r="K2193" s="3"/>
      <c r="M2193" s="10"/>
      <c r="N2193" s="3"/>
      <c r="O2193" s="3"/>
      <c r="P2193" s="3"/>
    </row>
    <row r="2194" spans="4:16" x14ac:dyDescent="0.25">
      <c r="D2194" s="2"/>
      <c r="F2194" s="3"/>
      <c r="G2194" s="3"/>
      <c r="H2194" s="3"/>
      <c r="I2194" s="3"/>
      <c r="J2194" s="3"/>
      <c r="K2194" s="3"/>
      <c r="M2194" s="10"/>
      <c r="N2194" s="3"/>
      <c r="O2194" s="3"/>
      <c r="P2194" s="3"/>
    </row>
    <row r="2195" spans="4:16" x14ac:dyDescent="0.25">
      <c r="D2195" s="2"/>
      <c r="F2195" s="3"/>
      <c r="G2195" s="3"/>
      <c r="H2195" s="3"/>
      <c r="I2195" s="3"/>
      <c r="J2195" s="3"/>
      <c r="K2195" s="3"/>
      <c r="M2195" s="10"/>
      <c r="N2195" s="3"/>
      <c r="O2195" s="3"/>
      <c r="P2195" s="3"/>
    </row>
    <row r="2196" spans="4:16" x14ac:dyDescent="0.25">
      <c r="D2196" s="2"/>
      <c r="F2196" s="3"/>
      <c r="G2196" s="3"/>
      <c r="H2196" s="3"/>
      <c r="I2196" s="3"/>
      <c r="J2196" s="3"/>
      <c r="K2196" s="3"/>
      <c r="M2196" s="10"/>
      <c r="N2196" s="3"/>
      <c r="O2196" s="3"/>
      <c r="P2196" s="3"/>
    </row>
    <row r="2197" spans="4:16" x14ac:dyDescent="0.25">
      <c r="D2197" s="2"/>
      <c r="F2197" s="3"/>
      <c r="G2197" s="3"/>
      <c r="H2197" s="3"/>
      <c r="I2197" s="3"/>
      <c r="J2197" s="3"/>
      <c r="K2197" s="3"/>
      <c r="M2197" s="10"/>
      <c r="N2197" s="3"/>
      <c r="O2197" s="3"/>
      <c r="P2197" s="3"/>
    </row>
    <row r="2198" spans="4:16" x14ac:dyDescent="0.25">
      <c r="D2198" s="2"/>
      <c r="F2198" s="3"/>
      <c r="G2198" s="3"/>
      <c r="H2198" s="3"/>
      <c r="I2198" s="3"/>
      <c r="J2198" s="3"/>
      <c r="K2198" s="3"/>
      <c r="M2198" s="10"/>
      <c r="N2198" s="3"/>
      <c r="O2198" s="3"/>
      <c r="P2198" s="3"/>
    </row>
    <row r="2199" spans="4:16" x14ac:dyDescent="0.25">
      <c r="D2199" s="2"/>
      <c r="F2199" s="3"/>
      <c r="G2199" s="3"/>
      <c r="H2199" s="3"/>
      <c r="I2199" s="3"/>
      <c r="J2199" s="3"/>
      <c r="K2199" s="3"/>
      <c r="M2199" s="10"/>
      <c r="N2199" s="3"/>
      <c r="O2199" s="3"/>
      <c r="P2199" s="3"/>
    </row>
    <row r="2200" spans="4:16" x14ac:dyDescent="0.25">
      <c r="D2200" s="2"/>
      <c r="F2200" s="3"/>
      <c r="G2200" s="3"/>
      <c r="H2200" s="3"/>
      <c r="I2200" s="3"/>
      <c r="J2200" s="3"/>
      <c r="K2200" s="3"/>
      <c r="M2200" s="10"/>
      <c r="N2200" s="3"/>
      <c r="O2200" s="3"/>
      <c r="P2200" s="3"/>
    </row>
    <row r="2201" spans="4:16" x14ac:dyDescent="0.25">
      <c r="D2201" s="2"/>
      <c r="F2201" s="3"/>
      <c r="G2201" s="3"/>
      <c r="H2201" s="3"/>
      <c r="I2201" s="3"/>
      <c r="J2201" s="3"/>
      <c r="K2201" s="3"/>
      <c r="M2201" s="10"/>
      <c r="N2201" s="3"/>
      <c r="O2201" s="3"/>
      <c r="P2201" s="3"/>
    </row>
    <row r="2202" spans="4:16" x14ac:dyDescent="0.25">
      <c r="D2202" s="2"/>
      <c r="F2202" s="3"/>
      <c r="G2202" s="3"/>
      <c r="H2202" s="3"/>
      <c r="I2202" s="3"/>
      <c r="J2202" s="3"/>
      <c r="K2202" s="3"/>
      <c r="M2202" s="10"/>
      <c r="N2202" s="3"/>
      <c r="O2202" s="3"/>
      <c r="P2202" s="3"/>
    </row>
    <row r="2203" spans="4:16" x14ac:dyDescent="0.25">
      <c r="D2203" s="2"/>
      <c r="F2203" s="3"/>
      <c r="G2203" s="3"/>
      <c r="H2203" s="3"/>
      <c r="I2203" s="3"/>
      <c r="J2203" s="3"/>
      <c r="K2203" s="3"/>
      <c r="M2203" s="10"/>
      <c r="N2203" s="3"/>
      <c r="O2203" s="3"/>
      <c r="P2203" s="3"/>
    </row>
    <row r="2204" spans="4:16" x14ac:dyDescent="0.25">
      <c r="D2204" s="2"/>
      <c r="F2204" s="3"/>
      <c r="G2204" s="3"/>
      <c r="H2204" s="3"/>
      <c r="I2204" s="3"/>
      <c r="J2204" s="3"/>
      <c r="K2204" s="3"/>
      <c r="M2204" s="10"/>
      <c r="N2204" s="3"/>
      <c r="O2204" s="3"/>
      <c r="P2204" s="3"/>
    </row>
    <row r="2205" spans="4:16" x14ac:dyDescent="0.25">
      <c r="D2205" s="2"/>
      <c r="F2205" s="3"/>
      <c r="G2205" s="3"/>
      <c r="H2205" s="3"/>
      <c r="I2205" s="3"/>
      <c r="J2205" s="3"/>
      <c r="K2205" s="3"/>
      <c r="M2205" s="10"/>
      <c r="N2205" s="3"/>
      <c r="O2205" s="3"/>
      <c r="P2205" s="3"/>
    </row>
    <row r="2206" spans="4:16" x14ac:dyDescent="0.25">
      <c r="D2206" s="2"/>
      <c r="F2206" s="3"/>
      <c r="G2206" s="3"/>
      <c r="H2206" s="3"/>
      <c r="I2206" s="3"/>
      <c r="J2206" s="3"/>
      <c r="K2206" s="3"/>
      <c r="M2206" s="10"/>
      <c r="N2206" s="3"/>
      <c r="O2206" s="3"/>
      <c r="P2206" s="3"/>
    </row>
    <row r="2207" spans="4:16" x14ac:dyDescent="0.25">
      <c r="D2207" s="2"/>
      <c r="F2207" s="3"/>
      <c r="G2207" s="3"/>
      <c r="H2207" s="3"/>
      <c r="I2207" s="3"/>
      <c r="J2207" s="3"/>
      <c r="K2207" s="3"/>
      <c r="M2207" s="10"/>
      <c r="N2207" s="3"/>
      <c r="O2207" s="3"/>
      <c r="P2207" s="3"/>
    </row>
    <row r="2208" spans="4:16" x14ac:dyDescent="0.25">
      <c r="D2208" s="2"/>
      <c r="F2208" s="3"/>
      <c r="G2208" s="3"/>
      <c r="H2208" s="3"/>
      <c r="I2208" s="3"/>
      <c r="J2208" s="3"/>
      <c r="K2208" s="3"/>
      <c r="M2208" s="10"/>
      <c r="N2208" s="3"/>
      <c r="O2208" s="3"/>
      <c r="P2208" s="3"/>
    </row>
    <row r="2209" spans="4:16" x14ac:dyDescent="0.25">
      <c r="D2209" s="2"/>
      <c r="F2209" s="3"/>
      <c r="G2209" s="3"/>
      <c r="H2209" s="3"/>
      <c r="I2209" s="3"/>
      <c r="J2209" s="3"/>
      <c r="K2209" s="3"/>
      <c r="M2209" s="10"/>
      <c r="N2209" s="3"/>
      <c r="O2209" s="3"/>
      <c r="P2209" s="3"/>
    </row>
    <row r="2210" spans="4:16" x14ac:dyDescent="0.25">
      <c r="D2210" s="2"/>
      <c r="F2210" s="3"/>
      <c r="G2210" s="3"/>
      <c r="H2210" s="3"/>
      <c r="I2210" s="3"/>
      <c r="J2210" s="3"/>
      <c r="K2210" s="3"/>
      <c r="M2210" s="10"/>
      <c r="N2210" s="3"/>
      <c r="O2210" s="3"/>
      <c r="P2210" s="3"/>
    </row>
    <row r="2211" spans="4:16" x14ac:dyDescent="0.25">
      <c r="D2211" s="2"/>
      <c r="F2211" s="3"/>
      <c r="G2211" s="3"/>
      <c r="H2211" s="3"/>
      <c r="I2211" s="3"/>
      <c r="J2211" s="3"/>
      <c r="K2211" s="3"/>
      <c r="M2211" s="10"/>
      <c r="N2211" s="3"/>
      <c r="O2211" s="3"/>
      <c r="P2211" s="3"/>
    </row>
    <row r="2212" spans="4:16" x14ac:dyDescent="0.25">
      <c r="D2212" s="2"/>
      <c r="F2212" s="3"/>
      <c r="G2212" s="3"/>
      <c r="H2212" s="3"/>
      <c r="I2212" s="3"/>
      <c r="J2212" s="3"/>
      <c r="K2212" s="3"/>
      <c r="M2212" s="10"/>
      <c r="N2212" s="3"/>
      <c r="O2212" s="3"/>
      <c r="P2212" s="3"/>
    </row>
    <row r="2213" spans="4:16" x14ac:dyDescent="0.25">
      <c r="D2213" s="2"/>
      <c r="F2213" s="3"/>
      <c r="G2213" s="3"/>
      <c r="H2213" s="3"/>
      <c r="I2213" s="3"/>
      <c r="J2213" s="3"/>
      <c r="K2213" s="3"/>
      <c r="M2213" s="10"/>
      <c r="N2213" s="3"/>
      <c r="O2213" s="3"/>
      <c r="P2213" s="3"/>
    </row>
    <row r="2214" spans="4:16" x14ac:dyDescent="0.25">
      <c r="D2214" s="2"/>
      <c r="F2214" s="3"/>
      <c r="G2214" s="3"/>
      <c r="H2214" s="3"/>
      <c r="I2214" s="3"/>
      <c r="J2214" s="3"/>
      <c r="K2214" s="3"/>
      <c r="M2214" s="10"/>
      <c r="N2214" s="3"/>
      <c r="O2214" s="3"/>
      <c r="P2214" s="3"/>
    </row>
    <row r="2215" spans="4:16" x14ac:dyDescent="0.25">
      <c r="D2215" s="2"/>
      <c r="F2215" s="3"/>
      <c r="G2215" s="3"/>
      <c r="H2215" s="3"/>
      <c r="I2215" s="3"/>
      <c r="J2215" s="3"/>
      <c r="K2215" s="3"/>
      <c r="M2215" s="10"/>
      <c r="N2215" s="3"/>
      <c r="O2215" s="3"/>
      <c r="P2215" s="3"/>
    </row>
    <row r="2216" spans="4:16" x14ac:dyDescent="0.25">
      <c r="D2216" s="2"/>
      <c r="F2216" s="3"/>
      <c r="G2216" s="3"/>
      <c r="H2216" s="3"/>
      <c r="I2216" s="3"/>
      <c r="J2216" s="3"/>
      <c r="K2216" s="3"/>
      <c r="M2216" s="10"/>
      <c r="N2216" s="3"/>
      <c r="O2216" s="3"/>
      <c r="P2216" s="3"/>
    </row>
    <row r="2217" spans="4:16" x14ac:dyDescent="0.25">
      <c r="D2217" s="2"/>
      <c r="F2217" s="3"/>
      <c r="G2217" s="3"/>
      <c r="H2217" s="3"/>
      <c r="I2217" s="3"/>
      <c r="J2217" s="3"/>
      <c r="K2217" s="3"/>
      <c r="M2217" s="10"/>
      <c r="N2217" s="3"/>
      <c r="O2217" s="3"/>
      <c r="P2217" s="3"/>
    </row>
    <row r="2218" spans="4:16" x14ac:dyDescent="0.25">
      <c r="D2218" s="2"/>
      <c r="F2218" s="3"/>
      <c r="G2218" s="3"/>
      <c r="H2218" s="3"/>
      <c r="I2218" s="3"/>
      <c r="J2218" s="3"/>
      <c r="K2218" s="3"/>
      <c r="M2218" s="10"/>
      <c r="N2218" s="3"/>
      <c r="O2218" s="3"/>
      <c r="P2218" s="3"/>
    </row>
    <row r="2219" spans="4:16" x14ac:dyDescent="0.25">
      <c r="D2219" s="2"/>
      <c r="F2219" s="3"/>
      <c r="G2219" s="3"/>
      <c r="H2219" s="3"/>
      <c r="I2219" s="3"/>
      <c r="J2219" s="3"/>
      <c r="K2219" s="3"/>
      <c r="M2219" s="10"/>
      <c r="N2219" s="3"/>
      <c r="O2219" s="3"/>
      <c r="P2219" s="3"/>
    </row>
    <row r="2220" spans="4:16" x14ac:dyDescent="0.25">
      <c r="D2220" s="2"/>
      <c r="F2220" s="3"/>
      <c r="G2220" s="3"/>
      <c r="H2220" s="3"/>
      <c r="I2220" s="3"/>
      <c r="J2220" s="3"/>
      <c r="K2220" s="3"/>
      <c r="M2220" s="10"/>
      <c r="N2220" s="3"/>
      <c r="O2220" s="3"/>
      <c r="P2220" s="3"/>
    </row>
    <row r="2221" spans="4:16" x14ac:dyDescent="0.25">
      <c r="D2221" s="2"/>
      <c r="F2221" s="3"/>
      <c r="G2221" s="3"/>
      <c r="H2221" s="3"/>
      <c r="I2221" s="3"/>
      <c r="J2221" s="3"/>
      <c r="K2221" s="3"/>
      <c r="M2221" s="10"/>
      <c r="N2221" s="3"/>
      <c r="O2221" s="3"/>
      <c r="P2221" s="3"/>
    </row>
    <row r="2222" spans="4:16" x14ac:dyDescent="0.25">
      <c r="D2222" s="2"/>
      <c r="F2222" s="3"/>
      <c r="G2222" s="3"/>
      <c r="H2222" s="3"/>
      <c r="I2222" s="3"/>
      <c r="J2222" s="3"/>
      <c r="K2222" s="3"/>
      <c r="M2222" s="10"/>
      <c r="N2222" s="3"/>
      <c r="O2222" s="3"/>
      <c r="P2222" s="3"/>
    </row>
    <row r="2223" spans="4:16" x14ac:dyDescent="0.25">
      <c r="D2223" s="2"/>
      <c r="F2223" s="3"/>
      <c r="G2223" s="3"/>
      <c r="H2223" s="3"/>
      <c r="I2223" s="3"/>
      <c r="J2223" s="3"/>
      <c r="K2223" s="3"/>
      <c r="M2223" s="10"/>
      <c r="N2223" s="3"/>
      <c r="O2223" s="3"/>
      <c r="P2223" s="3"/>
    </row>
    <row r="2224" spans="4:16" x14ac:dyDescent="0.25">
      <c r="D2224" s="2"/>
      <c r="F2224" s="3"/>
      <c r="G2224" s="3"/>
      <c r="H2224" s="3"/>
      <c r="I2224" s="3"/>
      <c r="J2224" s="3"/>
      <c r="K2224" s="3"/>
      <c r="M2224" s="10"/>
      <c r="N2224" s="3"/>
      <c r="O2224" s="3"/>
      <c r="P2224" s="3"/>
    </row>
    <row r="2225" spans="4:16" x14ac:dyDescent="0.25">
      <c r="D2225" s="2"/>
      <c r="F2225" s="3"/>
      <c r="G2225" s="3"/>
      <c r="H2225" s="3"/>
      <c r="I2225" s="3"/>
      <c r="J2225" s="3"/>
      <c r="K2225" s="3"/>
      <c r="M2225" s="10"/>
      <c r="N2225" s="3"/>
      <c r="O2225" s="3"/>
      <c r="P2225" s="3"/>
    </row>
    <row r="2226" spans="4:16" x14ac:dyDescent="0.25">
      <c r="D2226" s="2"/>
      <c r="F2226" s="3"/>
      <c r="G2226" s="3"/>
      <c r="H2226" s="3"/>
      <c r="I2226" s="3"/>
      <c r="J2226" s="3"/>
      <c r="K2226" s="3"/>
      <c r="M2226" s="10"/>
      <c r="N2226" s="3"/>
      <c r="O2226" s="3"/>
      <c r="P2226" s="3"/>
    </row>
    <row r="2227" spans="4:16" x14ac:dyDescent="0.25">
      <c r="D2227" s="2"/>
      <c r="F2227" s="3"/>
      <c r="G2227" s="3"/>
      <c r="H2227" s="3"/>
      <c r="I2227" s="3"/>
      <c r="J2227" s="3"/>
      <c r="K2227" s="3"/>
      <c r="M2227" s="10"/>
      <c r="N2227" s="3"/>
      <c r="O2227" s="3"/>
      <c r="P2227" s="3"/>
    </row>
    <row r="2228" spans="4:16" x14ac:dyDescent="0.25">
      <c r="D2228" s="2"/>
      <c r="F2228" s="3"/>
      <c r="G2228" s="3"/>
      <c r="H2228" s="3"/>
      <c r="I2228" s="3"/>
      <c r="J2228" s="3"/>
      <c r="K2228" s="3"/>
      <c r="M2228" s="10"/>
      <c r="N2228" s="3"/>
      <c r="O2228" s="3"/>
      <c r="P2228" s="3"/>
    </row>
    <row r="2229" spans="4:16" x14ac:dyDescent="0.25">
      <c r="D2229" s="2"/>
      <c r="F2229" s="3"/>
      <c r="G2229" s="3"/>
      <c r="H2229" s="3"/>
      <c r="I2229" s="3"/>
      <c r="J2229" s="3"/>
      <c r="K2229" s="3"/>
      <c r="M2229" s="10"/>
      <c r="N2229" s="3"/>
      <c r="O2229" s="3"/>
      <c r="P2229" s="3"/>
    </row>
    <row r="2230" spans="4:16" x14ac:dyDescent="0.25">
      <c r="D2230" s="2"/>
      <c r="F2230" s="3"/>
      <c r="G2230" s="3"/>
      <c r="H2230" s="3"/>
      <c r="I2230" s="3"/>
      <c r="J2230" s="3"/>
      <c r="K2230" s="3"/>
      <c r="M2230" s="10"/>
      <c r="N2230" s="3"/>
      <c r="O2230" s="3"/>
      <c r="P2230" s="3"/>
    </row>
    <row r="2231" spans="4:16" x14ac:dyDescent="0.25">
      <c r="D2231" s="2"/>
      <c r="F2231" s="3"/>
      <c r="G2231" s="3"/>
      <c r="H2231" s="3"/>
      <c r="I2231" s="3"/>
      <c r="J2231" s="3"/>
      <c r="K2231" s="3"/>
      <c r="M2231" s="10"/>
      <c r="N2231" s="3"/>
      <c r="O2231" s="3"/>
      <c r="P2231" s="3"/>
    </row>
    <row r="2232" spans="4:16" x14ac:dyDescent="0.25">
      <c r="D2232" s="2"/>
      <c r="F2232" s="3"/>
      <c r="G2232" s="3"/>
      <c r="H2232" s="3"/>
      <c r="I2232" s="3"/>
      <c r="J2232" s="3"/>
      <c r="K2232" s="3"/>
      <c r="M2232" s="10"/>
      <c r="N2232" s="3"/>
      <c r="O2232" s="3"/>
      <c r="P2232" s="3"/>
    </row>
    <row r="2233" spans="4:16" x14ac:dyDescent="0.25">
      <c r="D2233" s="2"/>
      <c r="F2233" s="3"/>
      <c r="G2233" s="3"/>
      <c r="H2233" s="3"/>
      <c r="I2233" s="3"/>
      <c r="J2233" s="3"/>
      <c r="K2233" s="3"/>
      <c r="M2233" s="10"/>
      <c r="N2233" s="3"/>
      <c r="O2233" s="3"/>
      <c r="P2233" s="3"/>
    </row>
    <row r="2234" spans="4:16" x14ac:dyDescent="0.25">
      <c r="D2234" s="2"/>
      <c r="F2234" s="3"/>
      <c r="G2234" s="3"/>
      <c r="H2234" s="3"/>
      <c r="I2234" s="3"/>
      <c r="J2234" s="3"/>
      <c r="K2234" s="3"/>
      <c r="M2234" s="10"/>
      <c r="N2234" s="3"/>
      <c r="O2234" s="3"/>
      <c r="P2234" s="3"/>
    </row>
    <row r="2235" spans="4:16" x14ac:dyDescent="0.25">
      <c r="D2235" s="2"/>
      <c r="F2235" s="3"/>
      <c r="G2235" s="3"/>
      <c r="H2235" s="3"/>
      <c r="I2235" s="3"/>
      <c r="J2235" s="3"/>
      <c r="K2235" s="3"/>
      <c r="M2235" s="10"/>
      <c r="N2235" s="3"/>
      <c r="O2235" s="3"/>
      <c r="P2235" s="3"/>
    </row>
    <row r="2236" spans="4:16" x14ac:dyDescent="0.25">
      <c r="D2236" s="2"/>
      <c r="F2236" s="3"/>
      <c r="G2236" s="3"/>
      <c r="H2236" s="3"/>
      <c r="I2236" s="3"/>
      <c r="J2236" s="3"/>
      <c r="K2236" s="3"/>
      <c r="M2236" s="10"/>
      <c r="N2236" s="3"/>
      <c r="O2236" s="3"/>
      <c r="P2236" s="3"/>
    </row>
    <row r="2237" spans="4:16" x14ac:dyDescent="0.25">
      <c r="D2237" s="2"/>
      <c r="F2237" s="3"/>
      <c r="G2237" s="3"/>
      <c r="H2237" s="3"/>
      <c r="I2237" s="3"/>
      <c r="J2237" s="3"/>
      <c r="K2237" s="3"/>
      <c r="M2237" s="10"/>
      <c r="N2237" s="3"/>
      <c r="O2237" s="3"/>
      <c r="P2237" s="3"/>
    </row>
    <row r="2238" spans="4:16" x14ac:dyDescent="0.25">
      <c r="D2238" s="2"/>
      <c r="F2238" s="3"/>
      <c r="G2238" s="3"/>
      <c r="H2238" s="3"/>
      <c r="I2238" s="3"/>
      <c r="J2238" s="3"/>
      <c r="K2238" s="3"/>
      <c r="M2238" s="10"/>
      <c r="N2238" s="3"/>
      <c r="O2238" s="3"/>
      <c r="P2238" s="3"/>
    </row>
    <row r="2239" spans="4:16" x14ac:dyDescent="0.25">
      <c r="D2239" s="2"/>
      <c r="F2239" s="3"/>
      <c r="G2239" s="3"/>
      <c r="H2239" s="3"/>
      <c r="I2239" s="3"/>
      <c r="J2239" s="3"/>
      <c r="K2239" s="3"/>
      <c r="M2239" s="10"/>
      <c r="N2239" s="3"/>
      <c r="O2239" s="3"/>
      <c r="P2239" s="3"/>
    </row>
    <row r="2240" spans="4:16" x14ac:dyDescent="0.25">
      <c r="D2240" s="2"/>
      <c r="F2240" s="3"/>
      <c r="G2240" s="3"/>
      <c r="H2240" s="3"/>
      <c r="I2240" s="3"/>
      <c r="J2240" s="3"/>
      <c r="K2240" s="3"/>
      <c r="M2240" s="10"/>
      <c r="N2240" s="3"/>
      <c r="O2240" s="3"/>
      <c r="P2240" s="3"/>
    </row>
    <row r="2241" spans="4:16" x14ac:dyDescent="0.25">
      <c r="D2241" s="2"/>
      <c r="F2241" s="3"/>
      <c r="G2241" s="3"/>
      <c r="H2241" s="3"/>
      <c r="I2241" s="3"/>
      <c r="J2241" s="3"/>
      <c r="K2241" s="3"/>
      <c r="M2241" s="10"/>
      <c r="N2241" s="3"/>
      <c r="O2241" s="3"/>
      <c r="P2241" s="3"/>
    </row>
    <row r="2242" spans="4:16" x14ac:dyDescent="0.25">
      <c r="D2242" s="2"/>
      <c r="F2242" s="3"/>
      <c r="G2242" s="3"/>
      <c r="H2242" s="3"/>
      <c r="I2242" s="3"/>
      <c r="J2242" s="3"/>
      <c r="K2242" s="3"/>
      <c r="M2242" s="10"/>
      <c r="N2242" s="3"/>
      <c r="O2242" s="3"/>
      <c r="P2242" s="3"/>
    </row>
    <row r="2243" spans="4:16" x14ac:dyDescent="0.25">
      <c r="D2243" s="2"/>
      <c r="F2243" s="3"/>
      <c r="G2243" s="3"/>
      <c r="H2243" s="3"/>
      <c r="I2243" s="3"/>
      <c r="J2243" s="3"/>
      <c r="K2243" s="3"/>
      <c r="M2243" s="10"/>
      <c r="N2243" s="3"/>
      <c r="O2243" s="3"/>
      <c r="P2243" s="3"/>
    </row>
    <row r="2244" spans="4:16" x14ac:dyDescent="0.25">
      <c r="D2244" s="2"/>
      <c r="F2244" s="3"/>
      <c r="G2244" s="3"/>
      <c r="H2244" s="3"/>
      <c r="I2244" s="3"/>
      <c r="J2244" s="3"/>
      <c r="K2244" s="3"/>
      <c r="M2244" s="10"/>
      <c r="N2244" s="3"/>
      <c r="O2244" s="3"/>
      <c r="P2244" s="3"/>
    </row>
    <row r="2245" spans="4:16" x14ac:dyDescent="0.25">
      <c r="D2245" s="2"/>
      <c r="F2245" s="3"/>
      <c r="G2245" s="3"/>
      <c r="H2245" s="3"/>
      <c r="I2245" s="3"/>
      <c r="J2245" s="3"/>
      <c r="K2245" s="3"/>
      <c r="M2245" s="10"/>
      <c r="N2245" s="3"/>
      <c r="O2245" s="3"/>
      <c r="P2245" s="3"/>
    </row>
    <row r="2246" spans="4:16" x14ac:dyDescent="0.25">
      <c r="D2246" s="2"/>
      <c r="F2246" s="3"/>
      <c r="G2246" s="3"/>
      <c r="H2246" s="3"/>
      <c r="I2246" s="3"/>
      <c r="J2246" s="3"/>
      <c r="K2246" s="3"/>
      <c r="M2246" s="10"/>
      <c r="N2246" s="3"/>
      <c r="O2246" s="3"/>
      <c r="P2246" s="3"/>
    </row>
    <row r="2247" spans="4:16" x14ac:dyDescent="0.25">
      <c r="D2247" s="2"/>
      <c r="F2247" s="3"/>
      <c r="G2247" s="3"/>
      <c r="H2247" s="3"/>
      <c r="I2247" s="3"/>
      <c r="J2247" s="3"/>
      <c r="K2247" s="3"/>
      <c r="M2247" s="10"/>
      <c r="N2247" s="3"/>
      <c r="O2247" s="3"/>
      <c r="P2247" s="3"/>
    </row>
    <row r="2248" spans="4:16" x14ac:dyDescent="0.25">
      <c r="D2248" s="2"/>
      <c r="F2248" s="3"/>
      <c r="G2248" s="3"/>
      <c r="H2248" s="3"/>
      <c r="I2248" s="3"/>
      <c r="J2248" s="3"/>
      <c r="K2248" s="3"/>
      <c r="M2248" s="10"/>
      <c r="N2248" s="3"/>
      <c r="O2248" s="3"/>
      <c r="P2248" s="3"/>
    </row>
    <row r="2249" spans="4:16" x14ac:dyDescent="0.25">
      <c r="D2249" s="2"/>
      <c r="F2249" s="3"/>
      <c r="G2249" s="3"/>
      <c r="H2249" s="3"/>
      <c r="I2249" s="3"/>
      <c r="J2249" s="3"/>
      <c r="K2249" s="3"/>
      <c r="M2249" s="10"/>
      <c r="N2249" s="3"/>
      <c r="O2249" s="3"/>
      <c r="P2249" s="3"/>
    </row>
    <row r="2250" spans="4:16" x14ac:dyDescent="0.25">
      <c r="D2250" s="2"/>
      <c r="F2250" s="3"/>
      <c r="G2250" s="3"/>
      <c r="H2250" s="3"/>
      <c r="I2250" s="3"/>
      <c r="J2250" s="3"/>
      <c r="K2250" s="3"/>
      <c r="M2250" s="10"/>
      <c r="N2250" s="3"/>
      <c r="O2250" s="3"/>
      <c r="P2250" s="3"/>
    </row>
    <row r="2251" spans="4:16" x14ac:dyDescent="0.25">
      <c r="D2251" s="2"/>
      <c r="F2251" s="3"/>
      <c r="G2251" s="3"/>
      <c r="H2251" s="3"/>
      <c r="I2251" s="3"/>
      <c r="J2251" s="3"/>
      <c r="K2251" s="3"/>
      <c r="M2251" s="10"/>
      <c r="N2251" s="3"/>
      <c r="O2251" s="3"/>
      <c r="P2251" s="3"/>
    </row>
    <row r="2252" spans="4:16" x14ac:dyDescent="0.25">
      <c r="D2252" s="2"/>
      <c r="F2252" s="3"/>
      <c r="G2252" s="3"/>
      <c r="H2252" s="3"/>
      <c r="I2252" s="3"/>
      <c r="J2252" s="3"/>
      <c r="K2252" s="3"/>
      <c r="M2252" s="10"/>
      <c r="N2252" s="3"/>
      <c r="O2252" s="3"/>
      <c r="P2252" s="3"/>
    </row>
    <row r="2253" spans="4:16" x14ac:dyDescent="0.25">
      <c r="D2253" s="2"/>
      <c r="F2253" s="3"/>
      <c r="G2253" s="3"/>
      <c r="H2253" s="3"/>
      <c r="I2253" s="3"/>
      <c r="J2253" s="3"/>
      <c r="K2253" s="3"/>
      <c r="M2253" s="10"/>
      <c r="N2253" s="3"/>
      <c r="O2253" s="3"/>
      <c r="P2253" s="3"/>
    </row>
    <row r="2254" spans="4:16" x14ac:dyDescent="0.25">
      <c r="D2254" s="2"/>
      <c r="F2254" s="3"/>
      <c r="G2254" s="3"/>
      <c r="H2254" s="3"/>
      <c r="I2254" s="3"/>
      <c r="J2254" s="3"/>
      <c r="K2254" s="3"/>
      <c r="M2254" s="10"/>
      <c r="N2254" s="3"/>
      <c r="O2254" s="3"/>
      <c r="P2254" s="3"/>
    </row>
    <row r="2255" spans="4:16" x14ac:dyDescent="0.25">
      <c r="D2255" s="2"/>
      <c r="F2255" s="3"/>
      <c r="G2255" s="3"/>
      <c r="H2255" s="3"/>
      <c r="I2255" s="3"/>
      <c r="J2255" s="3"/>
      <c r="K2255" s="3"/>
      <c r="M2255" s="10"/>
      <c r="N2255" s="3"/>
      <c r="O2255" s="3"/>
      <c r="P2255" s="3"/>
    </row>
    <row r="2256" spans="4:16" x14ac:dyDescent="0.25">
      <c r="D2256" s="2"/>
      <c r="F2256" s="3"/>
      <c r="G2256" s="3"/>
      <c r="H2256" s="3"/>
      <c r="I2256" s="3"/>
      <c r="J2256" s="3"/>
      <c r="K2256" s="3"/>
      <c r="M2256" s="10"/>
      <c r="N2256" s="3"/>
      <c r="O2256" s="3"/>
      <c r="P2256" s="3"/>
    </row>
    <row r="2257" spans="4:16" x14ac:dyDescent="0.25">
      <c r="D2257" s="2"/>
      <c r="F2257" s="3"/>
      <c r="G2257" s="3"/>
      <c r="H2257" s="3"/>
      <c r="I2257" s="3"/>
      <c r="J2257" s="3"/>
      <c r="K2257" s="3"/>
      <c r="M2257" s="10"/>
      <c r="N2257" s="3"/>
      <c r="O2257" s="3"/>
      <c r="P2257" s="3"/>
    </row>
    <row r="2258" spans="4:16" x14ac:dyDescent="0.25">
      <c r="D2258" s="2"/>
      <c r="F2258" s="3"/>
      <c r="G2258" s="3"/>
      <c r="H2258" s="3"/>
      <c r="I2258" s="3"/>
      <c r="J2258" s="3"/>
      <c r="K2258" s="3"/>
      <c r="M2258" s="10"/>
      <c r="N2258" s="3"/>
      <c r="O2258" s="3"/>
      <c r="P2258" s="3"/>
    </row>
    <row r="2259" spans="4:16" x14ac:dyDescent="0.25">
      <c r="D2259" s="2"/>
      <c r="F2259" s="3"/>
      <c r="G2259" s="3"/>
      <c r="H2259" s="3"/>
      <c r="I2259" s="3"/>
      <c r="J2259" s="3"/>
      <c r="K2259" s="3"/>
      <c r="M2259" s="10"/>
      <c r="N2259" s="3"/>
      <c r="O2259" s="3"/>
      <c r="P2259" s="3"/>
    </row>
    <row r="2260" spans="4:16" x14ac:dyDescent="0.25">
      <c r="D2260" s="2"/>
      <c r="F2260" s="3"/>
      <c r="G2260" s="3"/>
      <c r="H2260" s="3"/>
      <c r="I2260" s="3"/>
      <c r="J2260" s="3"/>
      <c r="K2260" s="3"/>
      <c r="M2260" s="10"/>
      <c r="N2260" s="3"/>
      <c r="O2260" s="3"/>
      <c r="P2260" s="3"/>
    </row>
    <row r="2261" spans="4:16" x14ac:dyDescent="0.25">
      <c r="D2261" s="2"/>
      <c r="F2261" s="3"/>
      <c r="G2261" s="3"/>
      <c r="H2261" s="3"/>
      <c r="I2261" s="3"/>
      <c r="J2261" s="3"/>
      <c r="K2261" s="3"/>
      <c r="M2261" s="10"/>
      <c r="N2261" s="3"/>
      <c r="O2261" s="3"/>
      <c r="P2261" s="3"/>
    </row>
    <row r="2262" spans="4:16" x14ac:dyDescent="0.25">
      <c r="D2262" s="2"/>
      <c r="F2262" s="3"/>
      <c r="G2262" s="3"/>
      <c r="H2262" s="3"/>
      <c r="I2262" s="3"/>
      <c r="J2262" s="3"/>
      <c r="K2262" s="3"/>
      <c r="M2262" s="10"/>
      <c r="N2262" s="3"/>
      <c r="O2262" s="3"/>
      <c r="P2262" s="3"/>
    </row>
    <row r="2263" spans="4:16" x14ac:dyDescent="0.25">
      <c r="D2263" s="2"/>
      <c r="F2263" s="3"/>
      <c r="G2263" s="3"/>
      <c r="H2263" s="3"/>
      <c r="I2263" s="3"/>
      <c r="J2263" s="3"/>
      <c r="K2263" s="3"/>
      <c r="M2263" s="10"/>
      <c r="N2263" s="3"/>
      <c r="O2263" s="3"/>
      <c r="P2263" s="3"/>
    </row>
    <row r="2264" spans="4:16" x14ac:dyDescent="0.25">
      <c r="D2264" s="2"/>
      <c r="F2264" s="3"/>
      <c r="G2264" s="3"/>
      <c r="H2264" s="3"/>
      <c r="I2264" s="3"/>
      <c r="J2264" s="3"/>
      <c r="K2264" s="3"/>
      <c r="M2264" s="10"/>
      <c r="N2264" s="3"/>
      <c r="O2264" s="3"/>
      <c r="P2264" s="3"/>
    </row>
    <row r="2265" spans="4:16" x14ac:dyDescent="0.25">
      <c r="D2265" s="2"/>
      <c r="F2265" s="3"/>
      <c r="G2265" s="3"/>
      <c r="H2265" s="3"/>
      <c r="I2265" s="3"/>
      <c r="J2265" s="3"/>
      <c r="K2265" s="3"/>
      <c r="M2265" s="10"/>
      <c r="N2265" s="3"/>
      <c r="O2265" s="3"/>
      <c r="P2265" s="3"/>
    </row>
    <row r="2266" spans="4:16" x14ac:dyDescent="0.25">
      <c r="D2266" s="2"/>
      <c r="F2266" s="3"/>
      <c r="G2266" s="3"/>
      <c r="H2266" s="3"/>
      <c r="I2266" s="3"/>
      <c r="J2266" s="3"/>
      <c r="K2266" s="3"/>
      <c r="M2266" s="10"/>
      <c r="N2266" s="3"/>
      <c r="O2266" s="3"/>
      <c r="P2266" s="3"/>
    </row>
    <row r="2267" spans="4:16" x14ac:dyDescent="0.25">
      <c r="D2267" s="2"/>
      <c r="F2267" s="3"/>
      <c r="G2267" s="3"/>
      <c r="H2267" s="3"/>
      <c r="I2267" s="3"/>
      <c r="J2267" s="3"/>
      <c r="K2267" s="3"/>
      <c r="M2267" s="10"/>
      <c r="N2267" s="3"/>
      <c r="O2267" s="3"/>
      <c r="P2267" s="3"/>
    </row>
    <row r="2268" spans="4:16" x14ac:dyDescent="0.25">
      <c r="D2268" s="2"/>
      <c r="F2268" s="3"/>
      <c r="G2268" s="3"/>
      <c r="H2268" s="3"/>
      <c r="I2268" s="3"/>
      <c r="J2268" s="3"/>
      <c r="K2268" s="3"/>
      <c r="M2268" s="10"/>
      <c r="N2268" s="3"/>
      <c r="O2268" s="3"/>
      <c r="P2268" s="3"/>
    </row>
    <row r="2269" spans="4:16" x14ac:dyDescent="0.25">
      <c r="D2269" s="2"/>
      <c r="F2269" s="3"/>
      <c r="G2269" s="3"/>
      <c r="H2269" s="3"/>
      <c r="I2269" s="3"/>
      <c r="J2269" s="3"/>
      <c r="K2269" s="3"/>
      <c r="M2269" s="10"/>
      <c r="N2269" s="3"/>
      <c r="O2269" s="3"/>
      <c r="P2269" s="3"/>
    </row>
    <row r="2270" spans="4:16" x14ac:dyDescent="0.25">
      <c r="D2270" s="2"/>
      <c r="F2270" s="3"/>
      <c r="G2270" s="3"/>
      <c r="H2270" s="3"/>
      <c r="I2270" s="3"/>
      <c r="J2270" s="3"/>
      <c r="K2270" s="3"/>
      <c r="M2270" s="10"/>
      <c r="N2270" s="3"/>
      <c r="O2270" s="3"/>
      <c r="P2270" s="3"/>
    </row>
    <row r="2271" spans="4:16" x14ac:dyDescent="0.25">
      <c r="D2271" s="2"/>
      <c r="F2271" s="3"/>
      <c r="G2271" s="3"/>
      <c r="H2271" s="3"/>
      <c r="I2271" s="3"/>
      <c r="J2271" s="3"/>
      <c r="K2271" s="3"/>
      <c r="M2271" s="10"/>
      <c r="N2271" s="3"/>
      <c r="O2271" s="3"/>
      <c r="P2271" s="3"/>
    </row>
    <row r="2272" spans="4:16" x14ac:dyDescent="0.25">
      <c r="D2272" s="2"/>
      <c r="F2272" s="3"/>
      <c r="G2272" s="3"/>
      <c r="H2272" s="3"/>
      <c r="I2272" s="3"/>
      <c r="J2272" s="3"/>
      <c r="K2272" s="3"/>
      <c r="M2272" s="10"/>
      <c r="N2272" s="3"/>
      <c r="O2272" s="3"/>
      <c r="P2272" s="3"/>
    </row>
    <row r="2273" spans="4:16" x14ac:dyDescent="0.25">
      <c r="D2273" s="2"/>
      <c r="F2273" s="3"/>
      <c r="G2273" s="3"/>
      <c r="H2273" s="3"/>
      <c r="I2273" s="3"/>
      <c r="J2273" s="3"/>
      <c r="K2273" s="3"/>
      <c r="M2273" s="10"/>
      <c r="N2273" s="3"/>
      <c r="O2273" s="3"/>
      <c r="P2273" s="3"/>
    </row>
    <row r="2274" spans="4:16" x14ac:dyDescent="0.25">
      <c r="D2274" s="2"/>
      <c r="F2274" s="3"/>
      <c r="G2274" s="3"/>
      <c r="H2274" s="3"/>
      <c r="I2274" s="3"/>
      <c r="J2274" s="3"/>
      <c r="K2274" s="3"/>
      <c r="M2274" s="10"/>
      <c r="N2274" s="3"/>
      <c r="O2274" s="3"/>
      <c r="P2274" s="3"/>
    </row>
    <row r="2275" spans="4:16" x14ac:dyDescent="0.25">
      <c r="D2275" s="2"/>
      <c r="F2275" s="3"/>
      <c r="G2275" s="3"/>
      <c r="H2275" s="3"/>
      <c r="I2275" s="3"/>
      <c r="J2275" s="3"/>
      <c r="K2275" s="3"/>
      <c r="M2275" s="10"/>
      <c r="N2275" s="3"/>
      <c r="O2275" s="3"/>
      <c r="P2275" s="3"/>
    </row>
    <row r="2276" spans="4:16" x14ac:dyDescent="0.25">
      <c r="D2276" s="2"/>
      <c r="F2276" s="3"/>
      <c r="G2276" s="3"/>
      <c r="H2276" s="3"/>
      <c r="I2276" s="3"/>
      <c r="J2276" s="3"/>
      <c r="K2276" s="3"/>
      <c r="M2276" s="10"/>
      <c r="N2276" s="3"/>
      <c r="O2276" s="3"/>
      <c r="P2276" s="3"/>
    </row>
    <row r="2277" spans="4:16" x14ac:dyDescent="0.25">
      <c r="D2277" s="2"/>
      <c r="F2277" s="3"/>
      <c r="G2277" s="3"/>
      <c r="H2277" s="3"/>
      <c r="I2277" s="3"/>
      <c r="J2277" s="3"/>
      <c r="K2277" s="3"/>
      <c r="M2277" s="10"/>
      <c r="N2277" s="3"/>
      <c r="O2277" s="3"/>
      <c r="P2277" s="3"/>
    </row>
    <row r="2278" spans="4:16" x14ac:dyDescent="0.25">
      <c r="D2278" s="2"/>
      <c r="F2278" s="3"/>
      <c r="G2278" s="3"/>
      <c r="H2278" s="3"/>
      <c r="I2278" s="3"/>
      <c r="J2278" s="3"/>
      <c r="K2278" s="3"/>
      <c r="M2278" s="10"/>
      <c r="N2278" s="3"/>
      <c r="O2278" s="3"/>
      <c r="P2278" s="3"/>
    </row>
    <row r="2279" spans="4:16" x14ac:dyDescent="0.25">
      <c r="D2279" s="2"/>
      <c r="F2279" s="3"/>
      <c r="G2279" s="3"/>
      <c r="H2279" s="3"/>
      <c r="I2279" s="3"/>
      <c r="J2279" s="3"/>
      <c r="K2279" s="3"/>
      <c r="M2279" s="10"/>
      <c r="N2279" s="3"/>
      <c r="O2279" s="3"/>
      <c r="P2279" s="3"/>
    </row>
    <row r="2280" spans="4:16" x14ac:dyDescent="0.25">
      <c r="D2280" s="2"/>
      <c r="F2280" s="3"/>
      <c r="G2280" s="3"/>
      <c r="H2280" s="3"/>
      <c r="I2280" s="3"/>
      <c r="J2280" s="3"/>
      <c r="K2280" s="3"/>
      <c r="M2280" s="10"/>
      <c r="N2280" s="3"/>
      <c r="O2280" s="3"/>
      <c r="P2280" s="3"/>
    </row>
    <row r="2281" spans="4:16" x14ac:dyDescent="0.25">
      <c r="D2281" s="2"/>
      <c r="F2281" s="3"/>
      <c r="G2281" s="3"/>
      <c r="H2281" s="3"/>
      <c r="I2281" s="3"/>
      <c r="J2281" s="3"/>
      <c r="K2281" s="3"/>
      <c r="M2281" s="10"/>
      <c r="N2281" s="3"/>
      <c r="O2281" s="3"/>
      <c r="P2281" s="3"/>
    </row>
    <row r="2282" spans="4:16" x14ac:dyDescent="0.25">
      <c r="D2282" s="2"/>
      <c r="F2282" s="3"/>
      <c r="G2282" s="3"/>
      <c r="H2282" s="3"/>
      <c r="I2282" s="3"/>
      <c r="J2282" s="3"/>
      <c r="K2282" s="3"/>
      <c r="M2282" s="10"/>
      <c r="N2282" s="3"/>
      <c r="O2282" s="3"/>
      <c r="P2282" s="3"/>
    </row>
    <row r="2283" spans="4:16" x14ac:dyDescent="0.25">
      <c r="D2283" s="2"/>
      <c r="F2283" s="3"/>
      <c r="G2283" s="3"/>
      <c r="H2283" s="3"/>
      <c r="I2283" s="3"/>
      <c r="J2283" s="3"/>
      <c r="K2283" s="3"/>
      <c r="M2283" s="10"/>
      <c r="N2283" s="3"/>
      <c r="O2283" s="3"/>
      <c r="P2283" s="3"/>
    </row>
    <row r="2284" spans="4:16" x14ac:dyDescent="0.25">
      <c r="D2284" s="2"/>
      <c r="F2284" s="3"/>
      <c r="G2284" s="3"/>
      <c r="H2284" s="3"/>
      <c r="I2284" s="3"/>
      <c r="J2284" s="3"/>
      <c r="K2284" s="3"/>
      <c r="M2284" s="10"/>
      <c r="N2284" s="3"/>
      <c r="O2284" s="3"/>
      <c r="P2284" s="3"/>
    </row>
    <row r="2285" spans="4:16" x14ac:dyDescent="0.25">
      <c r="D2285" s="2"/>
      <c r="F2285" s="3"/>
      <c r="G2285" s="3"/>
      <c r="H2285" s="3"/>
      <c r="I2285" s="3"/>
      <c r="J2285" s="3"/>
      <c r="K2285" s="3"/>
      <c r="M2285" s="10"/>
      <c r="N2285" s="3"/>
      <c r="O2285" s="3"/>
      <c r="P2285" s="3"/>
    </row>
    <row r="2286" spans="4:16" x14ac:dyDescent="0.25">
      <c r="D2286" s="2"/>
      <c r="F2286" s="3"/>
      <c r="G2286" s="3"/>
      <c r="H2286" s="3"/>
      <c r="I2286" s="3"/>
      <c r="J2286" s="3"/>
      <c r="K2286" s="3"/>
      <c r="M2286" s="10"/>
      <c r="N2286" s="3"/>
      <c r="O2286" s="3"/>
      <c r="P2286" s="3"/>
    </row>
    <row r="2287" spans="4:16" x14ac:dyDescent="0.25">
      <c r="D2287" s="2"/>
      <c r="F2287" s="3"/>
      <c r="G2287" s="3"/>
      <c r="H2287" s="3"/>
      <c r="I2287" s="3"/>
      <c r="J2287" s="3"/>
      <c r="K2287" s="3"/>
      <c r="M2287" s="10"/>
      <c r="N2287" s="3"/>
      <c r="O2287" s="3"/>
      <c r="P2287" s="3"/>
    </row>
    <row r="2288" spans="4:16" x14ac:dyDescent="0.25">
      <c r="D2288" s="2"/>
      <c r="F2288" s="3"/>
      <c r="G2288" s="3"/>
      <c r="H2288" s="3"/>
      <c r="I2288" s="3"/>
      <c r="J2288" s="3"/>
      <c r="K2288" s="3"/>
      <c r="M2288" s="10"/>
      <c r="N2288" s="3"/>
      <c r="O2288" s="3"/>
      <c r="P2288" s="3"/>
    </row>
    <row r="2289" spans="4:16" x14ac:dyDescent="0.25">
      <c r="D2289" s="2"/>
      <c r="F2289" s="3"/>
      <c r="G2289" s="3"/>
      <c r="H2289" s="3"/>
      <c r="I2289" s="3"/>
      <c r="J2289" s="3"/>
      <c r="K2289" s="3"/>
      <c r="M2289" s="10"/>
      <c r="N2289" s="3"/>
      <c r="O2289" s="3"/>
      <c r="P2289" s="3"/>
    </row>
    <row r="2290" spans="4:16" x14ac:dyDescent="0.25">
      <c r="D2290" s="2"/>
      <c r="F2290" s="3"/>
      <c r="G2290" s="3"/>
      <c r="H2290" s="3"/>
      <c r="I2290" s="3"/>
      <c r="J2290" s="3"/>
      <c r="K2290" s="3"/>
      <c r="M2290" s="10"/>
      <c r="N2290" s="3"/>
      <c r="O2290" s="3"/>
      <c r="P2290" s="3"/>
    </row>
    <row r="2291" spans="4:16" x14ac:dyDescent="0.25">
      <c r="D2291" s="2"/>
      <c r="F2291" s="3"/>
      <c r="G2291" s="3"/>
      <c r="H2291" s="3"/>
      <c r="I2291" s="3"/>
      <c r="J2291" s="3"/>
      <c r="K2291" s="3"/>
      <c r="M2291" s="10"/>
      <c r="N2291" s="3"/>
      <c r="O2291" s="3"/>
      <c r="P2291" s="3"/>
    </row>
    <row r="2292" spans="4:16" x14ac:dyDescent="0.25">
      <c r="D2292" s="2"/>
      <c r="F2292" s="3"/>
      <c r="G2292" s="3"/>
      <c r="H2292" s="3"/>
      <c r="I2292" s="3"/>
      <c r="J2292" s="3"/>
      <c r="K2292" s="3"/>
      <c r="M2292" s="10"/>
      <c r="N2292" s="3"/>
      <c r="O2292" s="3"/>
      <c r="P2292" s="3"/>
    </row>
    <row r="2293" spans="4:16" x14ac:dyDescent="0.25">
      <c r="D2293" s="2"/>
      <c r="F2293" s="3"/>
      <c r="G2293" s="3"/>
      <c r="H2293" s="3"/>
      <c r="I2293" s="3"/>
      <c r="J2293" s="3"/>
      <c r="K2293" s="3"/>
      <c r="M2293" s="10"/>
      <c r="N2293" s="3"/>
      <c r="O2293" s="3"/>
      <c r="P2293" s="3"/>
    </row>
    <row r="2294" spans="4:16" x14ac:dyDescent="0.25">
      <c r="D2294" s="2"/>
      <c r="F2294" s="3"/>
      <c r="G2294" s="3"/>
      <c r="H2294" s="3"/>
      <c r="I2294" s="3"/>
      <c r="J2294" s="3"/>
      <c r="K2294" s="3"/>
      <c r="M2294" s="10"/>
      <c r="N2294" s="3"/>
      <c r="O2294" s="3"/>
      <c r="P2294" s="3"/>
    </row>
    <row r="2295" spans="4:16" x14ac:dyDescent="0.25">
      <c r="D2295" s="2"/>
      <c r="F2295" s="3"/>
      <c r="G2295" s="3"/>
      <c r="H2295" s="3"/>
      <c r="I2295" s="3"/>
      <c r="J2295" s="3"/>
      <c r="K2295" s="3"/>
      <c r="M2295" s="10"/>
      <c r="N2295" s="3"/>
      <c r="O2295" s="3"/>
      <c r="P2295" s="3"/>
    </row>
    <row r="2296" spans="4:16" x14ac:dyDescent="0.25">
      <c r="D2296" s="2"/>
      <c r="F2296" s="3"/>
      <c r="G2296" s="3"/>
      <c r="H2296" s="3"/>
      <c r="I2296" s="3"/>
      <c r="J2296" s="3"/>
      <c r="K2296" s="3"/>
      <c r="M2296" s="10"/>
      <c r="N2296" s="3"/>
      <c r="O2296" s="3"/>
      <c r="P2296" s="3"/>
    </row>
    <row r="2297" spans="4:16" x14ac:dyDescent="0.25">
      <c r="D2297" s="2"/>
      <c r="F2297" s="3"/>
      <c r="G2297" s="3"/>
      <c r="H2297" s="3"/>
      <c r="I2297" s="3"/>
      <c r="J2297" s="3"/>
      <c r="K2297" s="3"/>
      <c r="M2297" s="10"/>
      <c r="N2297" s="3"/>
      <c r="O2297" s="3"/>
      <c r="P2297" s="3"/>
    </row>
    <row r="2298" spans="4:16" x14ac:dyDescent="0.25">
      <c r="D2298" s="2"/>
      <c r="F2298" s="3"/>
      <c r="G2298" s="3"/>
      <c r="H2298" s="3"/>
      <c r="I2298" s="3"/>
      <c r="J2298" s="3"/>
      <c r="K2298" s="3"/>
      <c r="M2298" s="10"/>
      <c r="N2298" s="3"/>
      <c r="O2298" s="3"/>
      <c r="P2298" s="3"/>
    </row>
    <row r="2299" spans="4:16" x14ac:dyDescent="0.25">
      <c r="D2299" s="2"/>
      <c r="F2299" s="3"/>
      <c r="G2299" s="3"/>
      <c r="H2299" s="3"/>
      <c r="I2299" s="3"/>
      <c r="J2299" s="3"/>
      <c r="K2299" s="3"/>
      <c r="M2299" s="10"/>
      <c r="N2299" s="3"/>
      <c r="O2299" s="3"/>
      <c r="P2299" s="3"/>
    </row>
    <row r="2300" spans="4:16" x14ac:dyDescent="0.25">
      <c r="D2300" s="2"/>
      <c r="F2300" s="3"/>
      <c r="G2300" s="3"/>
      <c r="H2300" s="3"/>
      <c r="I2300" s="3"/>
      <c r="J2300" s="3"/>
      <c r="K2300" s="3"/>
      <c r="M2300" s="10"/>
      <c r="N2300" s="3"/>
      <c r="O2300" s="3"/>
      <c r="P2300" s="3"/>
    </row>
    <row r="2301" spans="4:16" x14ac:dyDescent="0.25">
      <c r="D2301" s="2"/>
      <c r="F2301" s="3"/>
      <c r="G2301" s="3"/>
      <c r="H2301" s="3"/>
      <c r="I2301" s="3"/>
      <c r="J2301" s="3"/>
      <c r="K2301" s="3"/>
      <c r="M2301" s="10"/>
      <c r="N2301" s="3"/>
      <c r="O2301" s="3"/>
      <c r="P2301" s="3"/>
    </row>
    <row r="2302" spans="4:16" x14ac:dyDescent="0.25">
      <c r="D2302" s="2"/>
      <c r="F2302" s="3"/>
      <c r="G2302" s="3"/>
      <c r="H2302" s="3"/>
      <c r="I2302" s="3"/>
      <c r="J2302" s="3"/>
      <c r="K2302" s="3"/>
      <c r="M2302" s="10"/>
      <c r="N2302" s="3"/>
      <c r="O2302" s="3"/>
      <c r="P2302" s="3"/>
    </row>
    <row r="2303" spans="4:16" x14ac:dyDescent="0.25">
      <c r="D2303" s="2"/>
      <c r="F2303" s="3"/>
      <c r="G2303" s="3"/>
      <c r="H2303" s="3"/>
      <c r="I2303" s="3"/>
      <c r="J2303" s="3"/>
      <c r="K2303" s="3"/>
      <c r="M2303" s="10"/>
      <c r="N2303" s="3"/>
      <c r="O2303" s="3"/>
      <c r="P2303" s="3"/>
    </row>
    <row r="2304" spans="4:16" x14ac:dyDescent="0.25">
      <c r="D2304" s="2"/>
      <c r="F2304" s="3"/>
      <c r="G2304" s="3"/>
      <c r="H2304" s="3"/>
      <c r="I2304" s="3"/>
      <c r="J2304" s="3"/>
      <c r="K2304" s="3"/>
      <c r="M2304" s="10"/>
      <c r="N2304" s="3"/>
      <c r="O2304" s="3"/>
      <c r="P2304" s="3"/>
    </row>
    <row r="2305" spans="4:16" x14ac:dyDescent="0.25">
      <c r="D2305" s="2"/>
      <c r="F2305" s="3"/>
      <c r="G2305" s="3"/>
      <c r="H2305" s="3"/>
      <c r="I2305" s="3"/>
      <c r="J2305" s="3"/>
      <c r="K2305" s="3"/>
      <c r="M2305" s="10"/>
      <c r="N2305" s="3"/>
      <c r="O2305" s="3"/>
      <c r="P2305" s="3"/>
    </row>
    <row r="2306" spans="4:16" x14ac:dyDescent="0.25">
      <c r="D2306" s="2"/>
      <c r="F2306" s="3"/>
      <c r="G2306" s="3"/>
      <c r="H2306" s="3"/>
      <c r="I2306" s="3"/>
      <c r="J2306" s="3"/>
      <c r="K2306" s="3"/>
      <c r="M2306" s="10"/>
      <c r="N2306" s="3"/>
      <c r="O2306" s="3"/>
      <c r="P2306" s="3"/>
    </row>
    <row r="2307" spans="4:16" x14ac:dyDescent="0.25">
      <c r="D2307" s="2"/>
      <c r="F2307" s="3"/>
      <c r="G2307" s="3"/>
      <c r="H2307" s="3"/>
      <c r="I2307" s="3"/>
      <c r="J2307" s="3"/>
      <c r="K2307" s="3"/>
      <c r="M2307" s="10"/>
      <c r="N2307" s="3"/>
      <c r="O2307" s="3"/>
      <c r="P2307" s="3"/>
    </row>
    <row r="2308" spans="4:16" x14ac:dyDescent="0.25">
      <c r="D2308" s="2"/>
      <c r="F2308" s="3"/>
      <c r="G2308" s="3"/>
      <c r="H2308" s="3"/>
      <c r="I2308" s="3"/>
      <c r="J2308" s="3"/>
      <c r="K2308" s="3"/>
      <c r="M2308" s="10"/>
      <c r="N2308" s="3"/>
      <c r="O2308" s="3"/>
      <c r="P2308" s="3"/>
    </row>
    <row r="2309" spans="4:16" x14ac:dyDescent="0.25">
      <c r="D2309" s="2"/>
      <c r="F2309" s="3"/>
      <c r="G2309" s="3"/>
      <c r="H2309" s="3"/>
      <c r="I2309" s="3"/>
      <c r="J2309" s="3"/>
      <c r="K2309" s="3"/>
      <c r="M2309" s="10"/>
      <c r="N2309" s="3"/>
      <c r="O2309" s="3"/>
      <c r="P2309" s="3"/>
    </row>
    <row r="2310" spans="4:16" x14ac:dyDescent="0.25">
      <c r="D2310" s="2"/>
      <c r="F2310" s="3"/>
      <c r="G2310" s="3"/>
      <c r="H2310" s="3"/>
      <c r="I2310" s="3"/>
      <c r="J2310" s="3"/>
      <c r="K2310" s="3"/>
      <c r="M2310" s="10"/>
      <c r="N2310" s="3"/>
      <c r="O2310" s="3"/>
      <c r="P2310" s="3"/>
    </row>
    <row r="2311" spans="4:16" x14ac:dyDescent="0.25">
      <c r="D2311" s="2"/>
      <c r="F2311" s="3"/>
      <c r="G2311" s="3"/>
      <c r="H2311" s="3"/>
      <c r="I2311" s="3"/>
      <c r="J2311" s="3"/>
      <c r="K2311" s="3"/>
      <c r="M2311" s="10"/>
      <c r="N2311" s="3"/>
      <c r="O2311" s="3"/>
      <c r="P2311" s="3"/>
    </row>
    <row r="2312" spans="4:16" x14ac:dyDescent="0.25">
      <c r="D2312" s="2"/>
      <c r="F2312" s="3"/>
      <c r="G2312" s="3"/>
      <c r="H2312" s="3"/>
      <c r="I2312" s="3"/>
      <c r="J2312" s="3"/>
      <c r="K2312" s="3"/>
      <c r="M2312" s="10"/>
      <c r="N2312" s="3"/>
      <c r="O2312" s="3"/>
      <c r="P2312" s="3"/>
    </row>
    <row r="2313" spans="4:16" x14ac:dyDescent="0.25">
      <c r="D2313" s="2"/>
      <c r="F2313" s="3"/>
      <c r="G2313" s="3"/>
      <c r="H2313" s="3"/>
      <c r="I2313" s="3"/>
      <c r="J2313" s="3"/>
      <c r="K2313" s="3"/>
      <c r="M2313" s="10"/>
      <c r="N2313" s="3"/>
      <c r="O2313" s="3"/>
      <c r="P2313" s="3"/>
    </row>
    <row r="2314" spans="4:16" x14ac:dyDescent="0.25">
      <c r="D2314" s="2"/>
      <c r="F2314" s="3"/>
      <c r="G2314" s="3"/>
      <c r="H2314" s="3"/>
      <c r="I2314" s="3"/>
      <c r="J2314" s="3"/>
      <c r="K2314" s="3"/>
      <c r="M2314" s="10"/>
      <c r="N2314" s="3"/>
      <c r="O2314" s="3"/>
      <c r="P2314" s="3"/>
    </row>
    <row r="2315" spans="4:16" x14ac:dyDescent="0.25">
      <c r="D2315" s="2"/>
      <c r="F2315" s="3"/>
      <c r="G2315" s="3"/>
      <c r="H2315" s="3"/>
      <c r="I2315" s="3"/>
      <c r="J2315" s="3"/>
      <c r="K2315" s="3"/>
      <c r="M2315" s="10"/>
      <c r="N2315" s="3"/>
      <c r="O2315" s="3"/>
      <c r="P2315" s="3"/>
    </row>
    <row r="2316" spans="4:16" x14ac:dyDescent="0.25">
      <c r="D2316" s="2"/>
      <c r="F2316" s="3"/>
      <c r="G2316" s="3"/>
      <c r="H2316" s="3"/>
      <c r="I2316" s="3"/>
      <c r="J2316" s="3"/>
      <c r="K2316" s="3"/>
      <c r="M2316" s="10"/>
      <c r="N2316" s="3"/>
      <c r="O2316" s="3"/>
      <c r="P2316" s="3"/>
    </row>
    <row r="2317" spans="4:16" x14ac:dyDescent="0.25">
      <c r="D2317" s="2"/>
      <c r="F2317" s="3"/>
      <c r="G2317" s="3"/>
      <c r="H2317" s="3"/>
      <c r="I2317" s="3"/>
      <c r="J2317" s="3"/>
      <c r="K2317" s="3"/>
      <c r="M2317" s="10"/>
      <c r="N2317" s="3"/>
      <c r="O2317" s="3"/>
      <c r="P2317" s="3"/>
    </row>
    <row r="2318" spans="4:16" x14ac:dyDescent="0.25">
      <c r="D2318" s="2"/>
      <c r="F2318" s="3"/>
      <c r="G2318" s="3"/>
      <c r="H2318" s="3"/>
      <c r="I2318" s="3"/>
      <c r="J2318" s="3"/>
      <c r="K2318" s="3"/>
      <c r="M2318" s="10"/>
      <c r="N2318" s="3"/>
      <c r="O2318" s="3"/>
      <c r="P2318" s="3"/>
    </row>
    <row r="2319" spans="4:16" x14ac:dyDescent="0.25">
      <c r="D2319" s="2"/>
      <c r="F2319" s="3"/>
      <c r="G2319" s="3"/>
      <c r="H2319" s="3"/>
      <c r="I2319" s="3"/>
      <c r="J2319" s="3"/>
      <c r="K2319" s="3"/>
      <c r="M2319" s="10"/>
      <c r="N2319" s="3"/>
      <c r="O2319" s="3"/>
      <c r="P2319" s="3"/>
    </row>
    <row r="2320" spans="4:16" x14ac:dyDescent="0.25">
      <c r="D2320" s="2"/>
      <c r="F2320" s="3"/>
      <c r="G2320" s="3"/>
      <c r="H2320" s="3"/>
      <c r="I2320" s="3"/>
      <c r="J2320" s="3"/>
      <c r="K2320" s="3"/>
      <c r="M2320" s="10"/>
      <c r="N2320" s="3"/>
      <c r="O2320" s="3"/>
      <c r="P2320" s="3"/>
    </row>
    <row r="2321" spans="4:16" x14ac:dyDescent="0.25">
      <c r="D2321" s="2"/>
      <c r="F2321" s="3"/>
      <c r="G2321" s="3"/>
      <c r="H2321" s="3"/>
      <c r="I2321" s="3"/>
      <c r="J2321" s="3"/>
      <c r="K2321" s="3"/>
      <c r="M2321" s="10"/>
      <c r="N2321" s="3"/>
      <c r="O2321" s="3"/>
      <c r="P2321" s="3"/>
    </row>
    <row r="2322" spans="4:16" x14ac:dyDescent="0.25">
      <c r="D2322" s="2"/>
      <c r="F2322" s="3"/>
      <c r="G2322" s="3"/>
      <c r="H2322" s="3"/>
      <c r="I2322" s="3"/>
      <c r="J2322" s="3"/>
      <c r="K2322" s="3"/>
      <c r="M2322" s="10"/>
      <c r="N2322" s="3"/>
      <c r="O2322" s="3"/>
      <c r="P2322" s="3"/>
    </row>
    <row r="2323" spans="4:16" x14ac:dyDescent="0.25">
      <c r="D2323" s="2"/>
      <c r="F2323" s="3"/>
      <c r="G2323" s="3"/>
      <c r="H2323" s="3"/>
      <c r="I2323" s="3"/>
      <c r="J2323" s="3"/>
      <c r="K2323" s="3"/>
      <c r="M2323" s="10"/>
      <c r="N2323" s="3"/>
      <c r="O2323" s="3"/>
      <c r="P2323" s="3"/>
    </row>
    <row r="2324" spans="4:16" x14ac:dyDescent="0.25">
      <c r="D2324" s="2"/>
      <c r="F2324" s="3"/>
      <c r="G2324" s="3"/>
      <c r="H2324" s="3"/>
      <c r="I2324" s="3"/>
      <c r="J2324" s="3"/>
      <c r="K2324" s="3"/>
      <c r="M2324" s="10"/>
      <c r="N2324" s="3"/>
      <c r="O2324" s="3"/>
      <c r="P2324" s="3"/>
    </row>
    <row r="2325" spans="4:16" x14ac:dyDescent="0.25">
      <c r="D2325" s="2"/>
      <c r="F2325" s="3"/>
      <c r="G2325" s="3"/>
      <c r="H2325" s="3"/>
      <c r="I2325" s="3"/>
      <c r="J2325" s="3"/>
      <c r="K2325" s="3"/>
      <c r="M2325" s="10"/>
      <c r="N2325" s="3"/>
      <c r="O2325" s="3"/>
      <c r="P2325" s="3"/>
    </row>
    <row r="2326" spans="4:16" x14ac:dyDescent="0.25">
      <c r="D2326" s="2"/>
      <c r="F2326" s="3"/>
      <c r="G2326" s="3"/>
      <c r="H2326" s="3"/>
      <c r="I2326" s="3"/>
      <c r="J2326" s="3"/>
      <c r="K2326" s="3"/>
      <c r="M2326" s="10"/>
      <c r="N2326" s="3"/>
      <c r="O2326" s="3"/>
      <c r="P2326" s="3"/>
    </row>
    <row r="2327" spans="4:16" x14ac:dyDescent="0.25">
      <c r="D2327" s="2"/>
      <c r="F2327" s="3"/>
      <c r="G2327" s="3"/>
      <c r="H2327" s="3"/>
      <c r="I2327" s="3"/>
      <c r="J2327" s="3"/>
      <c r="K2327" s="3"/>
      <c r="M2327" s="10"/>
      <c r="N2327" s="3"/>
      <c r="O2327" s="3"/>
      <c r="P2327" s="3"/>
    </row>
    <row r="2328" spans="4:16" x14ac:dyDescent="0.25">
      <c r="D2328" s="2"/>
      <c r="F2328" s="3"/>
      <c r="G2328" s="3"/>
      <c r="H2328" s="3"/>
      <c r="I2328" s="3"/>
      <c r="J2328" s="3"/>
      <c r="K2328" s="3"/>
      <c r="M2328" s="10"/>
      <c r="N2328" s="3"/>
      <c r="O2328" s="3"/>
      <c r="P2328" s="3"/>
    </row>
    <row r="2329" spans="4:16" x14ac:dyDescent="0.25">
      <c r="D2329" s="2"/>
      <c r="F2329" s="3"/>
      <c r="G2329" s="3"/>
      <c r="H2329" s="3"/>
      <c r="I2329" s="3"/>
      <c r="J2329" s="3"/>
      <c r="K2329" s="3"/>
      <c r="M2329" s="10"/>
      <c r="N2329" s="3"/>
      <c r="O2329" s="3"/>
      <c r="P2329" s="3"/>
    </row>
    <row r="2330" spans="4:16" x14ac:dyDescent="0.25">
      <c r="D2330" s="2"/>
      <c r="F2330" s="3"/>
      <c r="G2330" s="3"/>
      <c r="H2330" s="3"/>
      <c r="I2330" s="3"/>
      <c r="J2330" s="3"/>
      <c r="K2330" s="3"/>
      <c r="M2330" s="10"/>
      <c r="N2330" s="3"/>
      <c r="O2330" s="3"/>
      <c r="P2330" s="3"/>
    </row>
    <row r="2331" spans="4:16" x14ac:dyDescent="0.25">
      <c r="D2331" s="2"/>
      <c r="F2331" s="3"/>
      <c r="G2331" s="3"/>
      <c r="H2331" s="3"/>
      <c r="I2331" s="3"/>
      <c r="J2331" s="3"/>
      <c r="K2331" s="3"/>
      <c r="M2331" s="10"/>
      <c r="N2331" s="3"/>
      <c r="O2331" s="3"/>
      <c r="P2331" s="3"/>
    </row>
    <row r="2332" spans="4:16" x14ac:dyDescent="0.25">
      <c r="D2332" s="2"/>
      <c r="F2332" s="3"/>
      <c r="G2332" s="3"/>
      <c r="H2332" s="3"/>
      <c r="I2332" s="3"/>
      <c r="J2332" s="3"/>
      <c r="K2332" s="3"/>
      <c r="M2332" s="10"/>
      <c r="N2332" s="3"/>
      <c r="O2332" s="3"/>
      <c r="P2332" s="3"/>
    </row>
    <row r="2333" spans="4:16" x14ac:dyDescent="0.25">
      <c r="D2333" s="2"/>
      <c r="F2333" s="3"/>
      <c r="G2333" s="3"/>
      <c r="H2333" s="3"/>
      <c r="I2333" s="3"/>
      <c r="J2333" s="3"/>
      <c r="K2333" s="3"/>
      <c r="M2333" s="10"/>
      <c r="N2333" s="3"/>
      <c r="O2333" s="3"/>
      <c r="P2333" s="3"/>
    </row>
    <row r="2334" spans="4:16" x14ac:dyDescent="0.25">
      <c r="D2334" s="2"/>
      <c r="F2334" s="3"/>
      <c r="G2334" s="3"/>
      <c r="H2334" s="3"/>
      <c r="I2334" s="3"/>
      <c r="J2334" s="3"/>
      <c r="K2334" s="3"/>
      <c r="M2334" s="10"/>
      <c r="N2334" s="3"/>
      <c r="O2334" s="3"/>
      <c r="P2334" s="3"/>
    </row>
    <row r="2335" spans="4:16" x14ac:dyDescent="0.25">
      <c r="D2335" s="2"/>
      <c r="F2335" s="3"/>
      <c r="G2335" s="3"/>
      <c r="H2335" s="3"/>
      <c r="I2335" s="3"/>
      <c r="J2335" s="3"/>
      <c r="K2335" s="3"/>
      <c r="M2335" s="10"/>
      <c r="N2335" s="3"/>
      <c r="O2335" s="3"/>
      <c r="P2335" s="3"/>
    </row>
    <row r="2336" spans="4:16" x14ac:dyDescent="0.25">
      <c r="D2336" s="2"/>
      <c r="F2336" s="3"/>
      <c r="G2336" s="3"/>
      <c r="H2336" s="3"/>
      <c r="I2336" s="3"/>
      <c r="J2336" s="3"/>
      <c r="K2336" s="3"/>
      <c r="M2336" s="10"/>
      <c r="N2336" s="3"/>
      <c r="O2336" s="3"/>
      <c r="P2336" s="3"/>
    </row>
    <row r="2337" spans="4:16" x14ac:dyDescent="0.25">
      <c r="D2337" s="2"/>
      <c r="F2337" s="3"/>
      <c r="G2337" s="3"/>
      <c r="H2337" s="3"/>
      <c r="I2337" s="3"/>
      <c r="J2337" s="3"/>
      <c r="K2337" s="3"/>
      <c r="M2337" s="10"/>
      <c r="N2337" s="3"/>
      <c r="O2337" s="3"/>
      <c r="P2337" s="3"/>
    </row>
    <row r="2338" spans="4:16" x14ac:dyDescent="0.25">
      <c r="D2338" s="2"/>
      <c r="F2338" s="3"/>
      <c r="G2338" s="3"/>
      <c r="H2338" s="3"/>
      <c r="I2338" s="3"/>
      <c r="J2338" s="3"/>
      <c r="K2338" s="3"/>
      <c r="M2338" s="10"/>
      <c r="N2338" s="3"/>
      <c r="O2338" s="3"/>
      <c r="P2338" s="3"/>
    </row>
    <row r="2339" spans="4:16" x14ac:dyDescent="0.25">
      <c r="D2339" s="2"/>
      <c r="F2339" s="3"/>
      <c r="G2339" s="3"/>
      <c r="H2339" s="3"/>
      <c r="I2339" s="3"/>
      <c r="J2339" s="3"/>
      <c r="K2339" s="3"/>
      <c r="M2339" s="10"/>
      <c r="N2339" s="3"/>
      <c r="O2339" s="3"/>
      <c r="P2339" s="3"/>
    </row>
    <row r="2340" spans="4:16" x14ac:dyDescent="0.25">
      <c r="D2340" s="2"/>
      <c r="F2340" s="3"/>
      <c r="G2340" s="3"/>
      <c r="H2340" s="3"/>
      <c r="I2340" s="3"/>
      <c r="J2340" s="3"/>
      <c r="K2340" s="3"/>
      <c r="M2340" s="10"/>
      <c r="N2340" s="3"/>
      <c r="O2340" s="3"/>
      <c r="P2340" s="3"/>
    </row>
    <row r="2341" spans="4:16" x14ac:dyDescent="0.25">
      <c r="D2341" s="2"/>
      <c r="F2341" s="3"/>
      <c r="G2341" s="3"/>
      <c r="H2341" s="3"/>
      <c r="I2341" s="3"/>
      <c r="J2341" s="3"/>
      <c r="K2341" s="3"/>
      <c r="M2341" s="10"/>
      <c r="N2341" s="3"/>
      <c r="O2341" s="3"/>
      <c r="P2341" s="3"/>
    </row>
    <row r="2342" spans="4:16" x14ac:dyDescent="0.25">
      <c r="D2342" s="2"/>
      <c r="F2342" s="3"/>
      <c r="G2342" s="3"/>
      <c r="H2342" s="3"/>
      <c r="I2342" s="3"/>
      <c r="J2342" s="3"/>
      <c r="K2342" s="3"/>
      <c r="M2342" s="10"/>
      <c r="N2342" s="3"/>
      <c r="O2342" s="3"/>
      <c r="P2342" s="3"/>
    </row>
    <row r="2343" spans="4:16" x14ac:dyDescent="0.25">
      <c r="D2343" s="2"/>
      <c r="F2343" s="3"/>
      <c r="G2343" s="3"/>
      <c r="H2343" s="3"/>
      <c r="I2343" s="3"/>
      <c r="J2343" s="3"/>
      <c r="K2343" s="3"/>
      <c r="M2343" s="10"/>
      <c r="N2343" s="3"/>
      <c r="O2343" s="3"/>
      <c r="P2343" s="3"/>
    </row>
    <row r="2344" spans="4:16" x14ac:dyDescent="0.25">
      <c r="D2344" s="2"/>
      <c r="F2344" s="3"/>
      <c r="G2344" s="3"/>
      <c r="H2344" s="3"/>
      <c r="I2344" s="3"/>
      <c r="J2344" s="3"/>
      <c r="K2344" s="3"/>
      <c r="M2344" s="10"/>
      <c r="N2344" s="3"/>
      <c r="O2344" s="3"/>
      <c r="P2344" s="3"/>
    </row>
    <row r="2345" spans="4:16" x14ac:dyDescent="0.25">
      <c r="D2345" s="2"/>
      <c r="F2345" s="3"/>
      <c r="G2345" s="3"/>
      <c r="H2345" s="3"/>
      <c r="I2345" s="3"/>
      <c r="J2345" s="3"/>
      <c r="K2345" s="3"/>
      <c r="M2345" s="10"/>
      <c r="N2345" s="3"/>
      <c r="O2345" s="3"/>
      <c r="P2345" s="3"/>
    </row>
    <row r="2346" spans="4:16" x14ac:dyDescent="0.25">
      <c r="D2346" s="2"/>
      <c r="F2346" s="3"/>
      <c r="G2346" s="3"/>
      <c r="H2346" s="3"/>
      <c r="I2346" s="3"/>
      <c r="J2346" s="3"/>
      <c r="K2346" s="3"/>
      <c r="M2346" s="10"/>
      <c r="N2346" s="3"/>
      <c r="O2346" s="3"/>
      <c r="P2346" s="3"/>
    </row>
    <row r="2347" spans="4:16" x14ac:dyDescent="0.25">
      <c r="D2347" s="2"/>
      <c r="F2347" s="3"/>
      <c r="G2347" s="3"/>
      <c r="H2347" s="3"/>
      <c r="I2347" s="3"/>
      <c r="J2347" s="3"/>
      <c r="K2347" s="3"/>
      <c r="M2347" s="10"/>
      <c r="N2347" s="3"/>
      <c r="O2347" s="3"/>
      <c r="P2347" s="3"/>
    </row>
    <row r="2348" spans="4:16" x14ac:dyDescent="0.25">
      <c r="D2348" s="2"/>
      <c r="F2348" s="3"/>
      <c r="G2348" s="3"/>
      <c r="H2348" s="3"/>
      <c r="I2348" s="3"/>
      <c r="J2348" s="3"/>
      <c r="K2348" s="3"/>
      <c r="M2348" s="10"/>
      <c r="N2348" s="3"/>
      <c r="O2348" s="3"/>
      <c r="P2348" s="3"/>
    </row>
    <row r="2349" spans="4:16" x14ac:dyDescent="0.25">
      <c r="D2349" s="2"/>
      <c r="F2349" s="3"/>
      <c r="G2349" s="3"/>
      <c r="H2349" s="3"/>
      <c r="I2349" s="3"/>
      <c r="J2349" s="3"/>
      <c r="K2349" s="3"/>
      <c r="M2349" s="10"/>
      <c r="N2349" s="3"/>
      <c r="O2349" s="3"/>
      <c r="P2349" s="3"/>
    </row>
    <row r="2350" spans="4:16" x14ac:dyDescent="0.25">
      <c r="D2350" s="2"/>
      <c r="F2350" s="3"/>
      <c r="G2350" s="3"/>
      <c r="H2350" s="3"/>
      <c r="I2350" s="3"/>
      <c r="J2350" s="3"/>
      <c r="K2350" s="3"/>
      <c r="M2350" s="10"/>
      <c r="N2350" s="3"/>
      <c r="O2350" s="3"/>
      <c r="P2350" s="3"/>
    </row>
    <row r="2351" spans="4:16" x14ac:dyDescent="0.25">
      <c r="D2351" s="2"/>
      <c r="F2351" s="3"/>
      <c r="G2351" s="3"/>
      <c r="H2351" s="3"/>
      <c r="I2351" s="3"/>
      <c r="J2351" s="3"/>
      <c r="K2351" s="3"/>
      <c r="M2351" s="10"/>
      <c r="N2351" s="3"/>
      <c r="O2351" s="3"/>
      <c r="P2351" s="3"/>
    </row>
    <row r="2352" spans="4:16" x14ac:dyDescent="0.25">
      <c r="D2352" s="2"/>
      <c r="F2352" s="3"/>
      <c r="G2352" s="3"/>
      <c r="H2352" s="3"/>
      <c r="I2352" s="3"/>
      <c r="J2352" s="3"/>
      <c r="K2352" s="3"/>
      <c r="M2352" s="10"/>
      <c r="N2352" s="3"/>
      <c r="O2352" s="3"/>
      <c r="P2352" s="3"/>
    </row>
    <row r="2353" spans="4:16" x14ac:dyDescent="0.25">
      <c r="D2353" s="2"/>
      <c r="F2353" s="3"/>
      <c r="G2353" s="3"/>
      <c r="H2353" s="3"/>
      <c r="I2353" s="3"/>
      <c r="J2353" s="3"/>
      <c r="K2353" s="3"/>
      <c r="M2353" s="10"/>
      <c r="N2353" s="3"/>
      <c r="O2353" s="3"/>
      <c r="P2353" s="3"/>
    </row>
    <row r="2354" spans="4:16" x14ac:dyDescent="0.25">
      <c r="D2354" s="2"/>
      <c r="F2354" s="3"/>
      <c r="G2354" s="3"/>
      <c r="H2354" s="3"/>
      <c r="I2354" s="3"/>
      <c r="J2354" s="3"/>
      <c r="K2354" s="3"/>
      <c r="M2354" s="10"/>
      <c r="N2354" s="3"/>
      <c r="O2354" s="3"/>
      <c r="P2354" s="3"/>
    </row>
    <row r="2355" spans="4:16" x14ac:dyDescent="0.25">
      <c r="D2355" s="2"/>
      <c r="F2355" s="3"/>
      <c r="G2355" s="3"/>
      <c r="H2355" s="3"/>
      <c r="I2355" s="3"/>
      <c r="J2355" s="3"/>
      <c r="K2355" s="3"/>
      <c r="M2355" s="10"/>
      <c r="N2355" s="3"/>
      <c r="O2355" s="3"/>
      <c r="P2355" s="3"/>
    </row>
    <row r="2356" spans="4:16" x14ac:dyDescent="0.25">
      <c r="D2356" s="2"/>
      <c r="F2356" s="3"/>
      <c r="G2356" s="3"/>
      <c r="H2356" s="3"/>
      <c r="I2356" s="3"/>
      <c r="J2356" s="3"/>
      <c r="K2356" s="3"/>
      <c r="M2356" s="10"/>
      <c r="N2356" s="3"/>
      <c r="O2356" s="3"/>
      <c r="P2356" s="3"/>
    </row>
    <row r="2357" spans="4:16" x14ac:dyDescent="0.25">
      <c r="D2357" s="2"/>
      <c r="F2357" s="3"/>
      <c r="G2357" s="3"/>
      <c r="H2357" s="3"/>
      <c r="I2357" s="3"/>
      <c r="J2357" s="3"/>
      <c r="K2357" s="3"/>
      <c r="M2357" s="10"/>
      <c r="N2357" s="3"/>
      <c r="O2357" s="3"/>
      <c r="P2357" s="3"/>
    </row>
    <row r="2358" spans="4:16" x14ac:dyDescent="0.25">
      <c r="D2358" s="2"/>
      <c r="F2358" s="3"/>
      <c r="G2358" s="3"/>
      <c r="H2358" s="3"/>
      <c r="I2358" s="3"/>
      <c r="J2358" s="3"/>
      <c r="K2358" s="3"/>
      <c r="M2358" s="10"/>
      <c r="N2358" s="3"/>
      <c r="O2358" s="3"/>
      <c r="P2358" s="3"/>
    </row>
    <row r="2359" spans="4:16" x14ac:dyDescent="0.25">
      <c r="D2359" s="2"/>
      <c r="F2359" s="3"/>
      <c r="G2359" s="3"/>
      <c r="H2359" s="3"/>
      <c r="I2359" s="3"/>
      <c r="J2359" s="3"/>
      <c r="K2359" s="3"/>
      <c r="M2359" s="10"/>
      <c r="N2359" s="3"/>
      <c r="O2359" s="3"/>
      <c r="P2359" s="3"/>
    </row>
    <row r="2360" spans="4:16" x14ac:dyDescent="0.25">
      <c r="D2360" s="2"/>
      <c r="F2360" s="3"/>
      <c r="G2360" s="3"/>
      <c r="H2360" s="3"/>
      <c r="I2360" s="3"/>
      <c r="J2360" s="3"/>
      <c r="K2360" s="3"/>
      <c r="M2360" s="10"/>
      <c r="N2360" s="3"/>
      <c r="O2360" s="3"/>
      <c r="P2360" s="3"/>
    </row>
    <row r="2361" spans="4:16" x14ac:dyDescent="0.25">
      <c r="D2361" s="2"/>
      <c r="F2361" s="3"/>
      <c r="G2361" s="3"/>
      <c r="H2361" s="3"/>
      <c r="I2361" s="3"/>
      <c r="J2361" s="3"/>
      <c r="K2361" s="3"/>
      <c r="M2361" s="10"/>
      <c r="N2361" s="3"/>
      <c r="O2361" s="3"/>
      <c r="P2361" s="3"/>
    </row>
    <row r="2362" spans="4:16" x14ac:dyDescent="0.25">
      <c r="D2362" s="2"/>
      <c r="F2362" s="3"/>
      <c r="G2362" s="3"/>
      <c r="H2362" s="3"/>
      <c r="I2362" s="3"/>
      <c r="J2362" s="3"/>
      <c r="K2362" s="3"/>
      <c r="M2362" s="10"/>
      <c r="N2362" s="3"/>
      <c r="O2362" s="3"/>
      <c r="P2362" s="3"/>
    </row>
    <row r="2363" spans="4:16" x14ac:dyDescent="0.25">
      <c r="D2363" s="2"/>
      <c r="F2363" s="3"/>
      <c r="G2363" s="3"/>
      <c r="H2363" s="3"/>
      <c r="I2363" s="3"/>
      <c r="J2363" s="3"/>
      <c r="K2363" s="3"/>
      <c r="M2363" s="10"/>
      <c r="N2363" s="3"/>
      <c r="O2363" s="3"/>
      <c r="P2363" s="3"/>
    </row>
    <row r="2364" spans="4:16" x14ac:dyDescent="0.25">
      <c r="D2364" s="2"/>
      <c r="F2364" s="3"/>
      <c r="G2364" s="3"/>
      <c r="H2364" s="3"/>
      <c r="I2364" s="3"/>
      <c r="J2364" s="3"/>
      <c r="K2364" s="3"/>
      <c r="M2364" s="10"/>
      <c r="N2364" s="3"/>
      <c r="O2364" s="3"/>
      <c r="P2364" s="3"/>
    </row>
    <row r="2365" spans="4:16" x14ac:dyDescent="0.25">
      <c r="D2365" s="2"/>
      <c r="F2365" s="3"/>
      <c r="G2365" s="3"/>
      <c r="H2365" s="3"/>
      <c r="I2365" s="3"/>
      <c r="J2365" s="3"/>
      <c r="K2365" s="3"/>
      <c r="M2365" s="10"/>
      <c r="N2365" s="3"/>
      <c r="O2365" s="3"/>
      <c r="P2365" s="3"/>
    </row>
    <row r="2366" spans="4:16" x14ac:dyDescent="0.25">
      <c r="D2366" s="2"/>
      <c r="F2366" s="3"/>
      <c r="G2366" s="3"/>
      <c r="H2366" s="3"/>
      <c r="I2366" s="3"/>
      <c r="J2366" s="3"/>
      <c r="K2366" s="3"/>
      <c r="M2366" s="10"/>
      <c r="N2366" s="3"/>
      <c r="O2366" s="3"/>
      <c r="P2366" s="3"/>
    </row>
    <row r="2367" spans="4:16" x14ac:dyDescent="0.25">
      <c r="D2367" s="2"/>
      <c r="F2367" s="3"/>
      <c r="G2367" s="3"/>
      <c r="H2367" s="3"/>
      <c r="I2367" s="3"/>
      <c r="J2367" s="3"/>
      <c r="K2367" s="3"/>
      <c r="M2367" s="10"/>
      <c r="N2367" s="3"/>
      <c r="O2367" s="3"/>
      <c r="P2367" s="3"/>
    </row>
    <row r="2368" spans="4:16" x14ac:dyDescent="0.25">
      <c r="D2368" s="2"/>
      <c r="F2368" s="3"/>
      <c r="G2368" s="3"/>
      <c r="H2368" s="3"/>
      <c r="I2368" s="3"/>
      <c r="J2368" s="3"/>
      <c r="K2368" s="3"/>
      <c r="M2368" s="10"/>
      <c r="N2368" s="3"/>
      <c r="O2368" s="3"/>
      <c r="P2368" s="3"/>
    </row>
    <row r="2369" spans="4:16" x14ac:dyDescent="0.25">
      <c r="D2369" s="2"/>
      <c r="F2369" s="3"/>
      <c r="G2369" s="3"/>
      <c r="H2369" s="3"/>
      <c r="I2369" s="3"/>
      <c r="J2369" s="3"/>
      <c r="K2369" s="3"/>
      <c r="M2369" s="10"/>
      <c r="N2369" s="3"/>
      <c r="O2369" s="3"/>
      <c r="P2369" s="3"/>
    </row>
    <row r="2370" spans="4:16" x14ac:dyDescent="0.25">
      <c r="D2370" s="2"/>
      <c r="F2370" s="3"/>
      <c r="G2370" s="3"/>
      <c r="H2370" s="3"/>
      <c r="I2370" s="3"/>
      <c r="J2370" s="3"/>
      <c r="K2370" s="3"/>
      <c r="M2370" s="10"/>
      <c r="N2370" s="3"/>
      <c r="O2370" s="3"/>
      <c r="P2370" s="3"/>
    </row>
    <row r="2371" spans="4:16" x14ac:dyDescent="0.25">
      <c r="D2371" s="2"/>
      <c r="F2371" s="3"/>
      <c r="G2371" s="3"/>
      <c r="H2371" s="3"/>
      <c r="I2371" s="3"/>
      <c r="J2371" s="3"/>
      <c r="K2371" s="3"/>
      <c r="M2371" s="10"/>
      <c r="N2371" s="3"/>
      <c r="O2371" s="3"/>
      <c r="P2371" s="3"/>
    </row>
    <row r="2372" spans="4:16" x14ac:dyDescent="0.25">
      <c r="D2372" s="2"/>
      <c r="F2372" s="3"/>
      <c r="G2372" s="3"/>
      <c r="H2372" s="3"/>
      <c r="I2372" s="3"/>
      <c r="J2372" s="3"/>
      <c r="K2372" s="3"/>
      <c r="M2372" s="10"/>
      <c r="N2372" s="3"/>
      <c r="O2372" s="3"/>
      <c r="P2372" s="3"/>
    </row>
    <row r="2373" spans="4:16" x14ac:dyDescent="0.25">
      <c r="D2373" s="2"/>
      <c r="F2373" s="3"/>
      <c r="G2373" s="3"/>
      <c r="H2373" s="3"/>
      <c r="I2373" s="3"/>
      <c r="J2373" s="3"/>
      <c r="K2373" s="3"/>
      <c r="M2373" s="10"/>
      <c r="N2373" s="3"/>
      <c r="O2373" s="3"/>
      <c r="P2373" s="3"/>
    </row>
    <row r="2374" spans="4:16" x14ac:dyDescent="0.25">
      <c r="D2374" s="2"/>
      <c r="F2374" s="3"/>
      <c r="G2374" s="3"/>
      <c r="H2374" s="3"/>
      <c r="I2374" s="3"/>
      <c r="J2374" s="3"/>
      <c r="K2374" s="3"/>
      <c r="M2374" s="10"/>
      <c r="N2374" s="3"/>
      <c r="O2374" s="3"/>
      <c r="P2374" s="3"/>
    </row>
    <row r="2375" spans="4:16" x14ac:dyDescent="0.25">
      <c r="D2375" s="2"/>
      <c r="F2375" s="3"/>
      <c r="G2375" s="3"/>
      <c r="H2375" s="3"/>
      <c r="I2375" s="3"/>
      <c r="J2375" s="3"/>
      <c r="K2375" s="3"/>
      <c r="M2375" s="10"/>
      <c r="N2375" s="3"/>
      <c r="O2375" s="3"/>
      <c r="P2375" s="3"/>
    </row>
    <row r="2376" spans="4:16" x14ac:dyDescent="0.25">
      <c r="D2376" s="2"/>
      <c r="F2376" s="3"/>
      <c r="G2376" s="3"/>
      <c r="H2376" s="3"/>
      <c r="I2376" s="3"/>
      <c r="J2376" s="3"/>
      <c r="K2376" s="3"/>
      <c r="M2376" s="10"/>
      <c r="N2376" s="3"/>
      <c r="O2376" s="3"/>
      <c r="P2376" s="3"/>
    </row>
    <row r="2377" spans="4:16" x14ac:dyDescent="0.25">
      <c r="D2377" s="2"/>
      <c r="F2377" s="3"/>
      <c r="G2377" s="3"/>
      <c r="H2377" s="3"/>
      <c r="I2377" s="3"/>
      <c r="J2377" s="3"/>
      <c r="K2377" s="3"/>
      <c r="M2377" s="10"/>
      <c r="N2377" s="3"/>
      <c r="O2377" s="3"/>
      <c r="P2377" s="3"/>
    </row>
    <row r="2378" spans="4:16" x14ac:dyDescent="0.25">
      <c r="D2378" s="2"/>
      <c r="F2378" s="3"/>
      <c r="G2378" s="3"/>
      <c r="H2378" s="3"/>
      <c r="I2378" s="3"/>
      <c r="J2378" s="3"/>
      <c r="K2378" s="3"/>
      <c r="M2378" s="10"/>
      <c r="N2378" s="3"/>
      <c r="O2378" s="3"/>
      <c r="P2378" s="3"/>
    </row>
    <row r="2379" spans="4:16" x14ac:dyDescent="0.25">
      <c r="D2379" s="2"/>
      <c r="F2379" s="3"/>
      <c r="G2379" s="3"/>
      <c r="H2379" s="3"/>
      <c r="I2379" s="3"/>
      <c r="J2379" s="3"/>
      <c r="K2379" s="3"/>
      <c r="M2379" s="10"/>
      <c r="N2379" s="3"/>
      <c r="O2379" s="3"/>
      <c r="P2379" s="3"/>
    </row>
    <row r="2380" spans="4:16" x14ac:dyDescent="0.25">
      <c r="D2380" s="2"/>
      <c r="F2380" s="3"/>
      <c r="G2380" s="3"/>
      <c r="H2380" s="3"/>
      <c r="I2380" s="3"/>
      <c r="J2380" s="3"/>
      <c r="K2380" s="3"/>
      <c r="M2380" s="10"/>
      <c r="N2380" s="3"/>
      <c r="O2380" s="3"/>
      <c r="P2380" s="3"/>
    </row>
    <row r="2381" spans="4:16" x14ac:dyDescent="0.25">
      <c r="D2381" s="2"/>
      <c r="F2381" s="3"/>
      <c r="G2381" s="3"/>
      <c r="H2381" s="3"/>
      <c r="I2381" s="3"/>
      <c r="J2381" s="3"/>
      <c r="K2381" s="3"/>
      <c r="M2381" s="10"/>
      <c r="N2381" s="3"/>
      <c r="O2381" s="3"/>
      <c r="P2381" s="3"/>
    </row>
    <row r="2382" spans="4:16" x14ac:dyDescent="0.25">
      <c r="D2382" s="2"/>
      <c r="F2382" s="3"/>
      <c r="G2382" s="3"/>
      <c r="H2382" s="3"/>
      <c r="I2382" s="3"/>
      <c r="J2382" s="3"/>
      <c r="K2382" s="3"/>
      <c r="M2382" s="10"/>
      <c r="N2382" s="3"/>
      <c r="O2382" s="3"/>
      <c r="P2382" s="3"/>
    </row>
    <row r="2383" spans="4:16" x14ac:dyDescent="0.25">
      <c r="D2383" s="2"/>
      <c r="F2383" s="3"/>
      <c r="G2383" s="3"/>
      <c r="H2383" s="3"/>
      <c r="I2383" s="3"/>
      <c r="J2383" s="3"/>
      <c r="K2383" s="3"/>
      <c r="M2383" s="10"/>
      <c r="N2383" s="3"/>
      <c r="O2383" s="3"/>
      <c r="P2383" s="3"/>
    </row>
    <row r="2384" spans="4:16" x14ac:dyDescent="0.25">
      <c r="D2384" s="2"/>
      <c r="F2384" s="3"/>
      <c r="G2384" s="3"/>
      <c r="H2384" s="3"/>
      <c r="I2384" s="3"/>
      <c r="J2384" s="3"/>
      <c r="K2384" s="3"/>
      <c r="M2384" s="10"/>
      <c r="N2384" s="3"/>
      <c r="O2384" s="3"/>
      <c r="P2384" s="3"/>
    </row>
    <row r="2385" spans="4:16" x14ac:dyDescent="0.25">
      <c r="D2385" s="2"/>
      <c r="F2385" s="3"/>
      <c r="G2385" s="3"/>
      <c r="H2385" s="3"/>
      <c r="I2385" s="3"/>
      <c r="J2385" s="3"/>
      <c r="K2385" s="3"/>
      <c r="M2385" s="10"/>
      <c r="N2385" s="3"/>
      <c r="O2385" s="3"/>
      <c r="P2385" s="3"/>
    </row>
    <row r="2386" spans="4:16" x14ac:dyDescent="0.25">
      <c r="D2386" s="2"/>
      <c r="F2386" s="3"/>
      <c r="G2386" s="3"/>
      <c r="H2386" s="3"/>
      <c r="I2386" s="3"/>
      <c r="J2386" s="3"/>
      <c r="K2386" s="3"/>
      <c r="M2386" s="10"/>
      <c r="N2386" s="3"/>
      <c r="O2386" s="3"/>
      <c r="P2386" s="3"/>
    </row>
    <row r="2387" spans="4:16" x14ac:dyDescent="0.25">
      <c r="D2387" s="2"/>
      <c r="F2387" s="3"/>
      <c r="G2387" s="3"/>
      <c r="H2387" s="3"/>
      <c r="I2387" s="3"/>
      <c r="J2387" s="3"/>
      <c r="K2387" s="3"/>
      <c r="M2387" s="10"/>
      <c r="N2387" s="3"/>
      <c r="O2387" s="3"/>
      <c r="P2387" s="3"/>
    </row>
    <row r="2388" spans="4:16" x14ac:dyDescent="0.25">
      <c r="D2388" s="2"/>
      <c r="F2388" s="3"/>
      <c r="G2388" s="3"/>
      <c r="H2388" s="3"/>
      <c r="I2388" s="3"/>
      <c r="J2388" s="3"/>
      <c r="K2388" s="3"/>
      <c r="M2388" s="10"/>
      <c r="N2388" s="3"/>
      <c r="O2388" s="3"/>
      <c r="P2388" s="3"/>
    </row>
    <row r="2389" spans="4:16" x14ac:dyDescent="0.25">
      <c r="D2389" s="2"/>
      <c r="F2389" s="3"/>
      <c r="G2389" s="3"/>
      <c r="H2389" s="3"/>
      <c r="I2389" s="3"/>
      <c r="J2389" s="3"/>
      <c r="K2389" s="3"/>
      <c r="M2389" s="10"/>
      <c r="N2389" s="3"/>
      <c r="O2389" s="3"/>
      <c r="P2389" s="3"/>
    </row>
    <row r="2390" spans="4:16" x14ac:dyDescent="0.25">
      <c r="D2390" s="2"/>
      <c r="F2390" s="3"/>
      <c r="G2390" s="3"/>
      <c r="H2390" s="3"/>
      <c r="I2390" s="3"/>
      <c r="J2390" s="3"/>
      <c r="K2390" s="3"/>
      <c r="M2390" s="10"/>
      <c r="N2390" s="3"/>
      <c r="O2390" s="3"/>
      <c r="P2390" s="3"/>
    </row>
    <row r="2391" spans="4:16" x14ac:dyDescent="0.25">
      <c r="D2391" s="2"/>
      <c r="F2391" s="3"/>
      <c r="G2391" s="3"/>
      <c r="H2391" s="3"/>
      <c r="I2391" s="3"/>
      <c r="J2391" s="3"/>
      <c r="K2391" s="3"/>
      <c r="M2391" s="10"/>
      <c r="N2391" s="3"/>
      <c r="O2391" s="3"/>
      <c r="P2391" s="3"/>
    </row>
    <row r="2392" spans="4:16" x14ac:dyDescent="0.25">
      <c r="D2392" s="2"/>
      <c r="F2392" s="3"/>
      <c r="G2392" s="3"/>
      <c r="H2392" s="3"/>
      <c r="I2392" s="3"/>
      <c r="J2392" s="3"/>
      <c r="K2392" s="3"/>
      <c r="M2392" s="10"/>
      <c r="N2392" s="3"/>
      <c r="O2392" s="3"/>
      <c r="P2392" s="3"/>
    </row>
    <row r="2393" spans="4:16" x14ac:dyDescent="0.25">
      <c r="D2393" s="2"/>
      <c r="F2393" s="3"/>
      <c r="G2393" s="3"/>
      <c r="H2393" s="3"/>
      <c r="I2393" s="3"/>
      <c r="J2393" s="3"/>
      <c r="K2393" s="3"/>
      <c r="M2393" s="10"/>
      <c r="N2393" s="3"/>
      <c r="O2393" s="3"/>
      <c r="P2393" s="3"/>
    </row>
    <row r="2394" spans="4:16" x14ac:dyDescent="0.25">
      <c r="D2394" s="2"/>
      <c r="F2394" s="3"/>
      <c r="G2394" s="3"/>
      <c r="H2394" s="3"/>
      <c r="I2394" s="3"/>
      <c r="J2394" s="3"/>
      <c r="K2394" s="3"/>
      <c r="M2394" s="10"/>
      <c r="N2394" s="3"/>
      <c r="O2394" s="3"/>
      <c r="P2394" s="3"/>
    </row>
    <row r="2395" spans="4:16" x14ac:dyDescent="0.25">
      <c r="D2395" s="2"/>
      <c r="F2395" s="3"/>
      <c r="G2395" s="3"/>
      <c r="H2395" s="3"/>
      <c r="I2395" s="3"/>
      <c r="J2395" s="3"/>
      <c r="K2395" s="3"/>
      <c r="M2395" s="10"/>
      <c r="N2395" s="3"/>
      <c r="O2395" s="3"/>
      <c r="P2395" s="3"/>
    </row>
    <row r="2396" spans="4:16" x14ac:dyDescent="0.25">
      <c r="D2396" s="2"/>
      <c r="F2396" s="3"/>
      <c r="G2396" s="3"/>
      <c r="H2396" s="3"/>
      <c r="I2396" s="3"/>
      <c r="J2396" s="3"/>
      <c r="K2396" s="3"/>
      <c r="M2396" s="10"/>
      <c r="N2396" s="3"/>
      <c r="O2396" s="3"/>
      <c r="P2396" s="3"/>
    </row>
    <row r="2397" spans="4:16" x14ac:dyDescent="0.25">
      <c r="D2397" s="2"/>
      <c r="F2397" s="3"/>
      <c r="G2397" s="3"/>
      <c r="H2397" s="3"/>
      <c r="I2397" s="3"/>
      <c r="J2397" s="3"/>
      <c r="K2397" s="3"/>
      <c r="M2397" s="10"/>
      <c r="N2397" s="3"/>
      <c r="O2397" s="3"/>
      <c r="P2397" s="3"/>
    </row>
    <row r="2398" spans="4:16" x14ac:dyDescent="0.25">
      <c r="D2398" s="2"/>
      <c r="F2398" s="3"/>
      <c r="G2398" s="3"/>
      <c r="H2398" s="3"/>
      <c r="I2398" s="3"/>
      <c r="J2398" s="3"/>
      <c r="K2398" s="3"/>
      <c r="M2398" s="10"/>
      <c r="N2398" s="3"/>
      <c r="O2398" s="3"/>
      <c r="P2398" s="3"/>
    </row>
    <row r="2399" spans="4:16" x14ac:dyDescent="0.25">
      <c r="D2399" s="2"/>
      <c r="F2399" s="3"/>
      <c r="G2399" s="3"/>
      <c r="H2399" s="3"/>
      <c r="I2399" s="3"/>
      <c r="J2399" s="3"/>
      <c r="K2399" s="3"/>
      <c r="M2399" s="10"/>
      <c r="N2399" s="3"/>
      <c r="O2399" s="3"/>
      <c r="P2399" s="3"/>
    </row>
    <row r="2400" spans="4:16" x14ac:dyDescent="0.25">
      <c r="D2400" s="2"/>
      <c r="F2400" s="3"/>
      <c r="G2400" s="3"/>
      <c r="H2400" s="3"/>
      <c r="I2400" s="3"/>
      <c r="J2400" s="3"/>
      <c r="K2400" s="3"/>
      <c r="M2400" s="10"/>
      <c r="N2400" s="3"/>
      <c r="O2400" s="3"/>
      <c r="P2400" s="3"/>
    </row>
    <row r="2401" spans="4:16" x14ac:dyDescent="0.25">
      <c r="D2401" s="2"/>
      <c r="F2401" s="3"/>
      <c r="G2401" s="3"/>
      <c r="H2401" s="3"/>
      <c r="I2401" s="3"/>
      <c r="J2401" s="3"/>
      <c r="K2401" s="3"/>
      <c r="M2401" s="10"/>
      <c r="N2401" s="3"/>
      <c r="O2401" s="3"/>
      <c r="P2401" s="3"/>
    </row>
    <row r="2402" spans="4:16" x14ac:dyDescent="0.25">
      <c r="D2402" s="2"/>
      <c r="F2402" s="3"/>
      <c r="G2402" s="3"/>
      <c r="H2402" s="3"/>
      <c r="I2402" s="3"/>
      <c r="J2402" s="3"/>
      <c r="K2402" s="3"/>
      <c r="M2402" s="10"/>
      <c r="N2402" s="3"/>
      <c r="O2402" s="3"/>
      <c r="P2402" s="3"/>
    </row>
    <row r="2403" spans="4:16" x14ac:dyDescent="0.25">
      <c r="D2403" s="2"/>
      <c r="F2403" s="3"/>
      <c r="G2403" s="3"/>
      <c r="H2403" s="3"/>
      <c r="I2403" s="3"/>
      <c r="J2403" s="3"/>
      <c r="K2403" s="3"/>
      <c r="M2403" s="10"/>
      <c r="N2403" s="3"/>
      <c r="O2403" s="3"/>
      <c r="P2403" s="3"/>
    </row>
    <row r="2404" spans="4:16" x14ac:dyDescent="0.25">
      <c r="D2404" s="2"/>
      <c r="F2404" s="3"/>
      <c r="G2404" s="3"/>
      <c r="H2404" s="3"/>
      <c r="I2404" s="3"/>
      <c r="J2404" s="3"/>
      <c r="K2404" s="3"/>
      <c r="M2404" s="10"/>
      <c r="N2404" s="3"/>
      <c r="O2404" s="3"/>
      <c r="P2404" s="3"/>
    </row>
    <row r="2405" spans="4:16" x14ac:dyDescent="0.25">
      <c r="D2405" s="2"/>
      <c r="F2405" s="3"/>
      <c r="G2405" s="3"/>
      <c r="H2405" s="3"/>
      <c r="I2405" s="3"/>
      <c r="J2405" s="3"/>
      <c r="K2405" s="3"/>
      <c r="M2405" s="10"/>
      <c r="N2405" s="3"/>
      <c r="O2405" s="3"/>
      <c r="P2405" s="3"/>
    </row>
    <row r="2406" spans="4:16" x14ac:dyDescent="0.25">
      <c r="D2406" s="2"/>
      <c r="F2406" s="3"/>
      <c r="G2406" s="3"/>
      <c r="H2406" s="3"/>
      <c r="I2406" s="3"/>
      <c r="J2406" s="3"/>
      <c r="K2406" s="3"/>
      <c r="M2406" s="10"/>
      <c r="N2406" s="3"/>
      <c r="O2406" s="3"/>
      <c r="P2406" s="3"/>
    </row>
    <row r="2407" spans="4:16" x14ac:dyDescent="0.25">
      <c r="D2407" s="2"/>
      <c r="F2407" s="3"/>
      <c r="G2407" s="3"/>
      <c r="H2407" s="3"/>
      <c r="I2407" s="3"/>
      <c r="J2407" s="3"/>
      <c r="K2407" s="3"/>
      <c r="M2407" s="10"/>
      <c r="N2407" s="3"/>
      <c r="O2407" s="3"/>
      <c r="P2407" s="3"/>
    </row>
    <row r="2408" spans="4:16" x14ac:dyDescent="0.25">
      <c r="D2408" s="2"/>
      <c r="F2408" s="3"/>
      <c r="G2408" s="3"/>
      <c r="H2408" s="3"/>
      <c r="I2408" s="3"/>
      <c r="J2408" s="3"/>
      <c r="K2408" s="3"/>
      <c r="M2408" s="10"/>
      <c r="N2408" s="3"/>
      <c r="O2408" s="3"/>
      <c r="P2408" s="3"/>
    </row>
    <row r="2409" spans="4:16" x14ac:dyDescent="0.25">
      <c r="D2409" s="2"/>
      <c r="F2409" s="3"/>
      <c r="G2409" s="3"/>
      <c r="H2409" s="3"/>
      <c r="I2409" s="3"/>
      <c r="J2409" s="3"/>
      <c r="K2409" s="3"/>
      <c r="M2409" s="10"/>
      <c r="N2409" s="3"/>
      <c r="O2409" s="3"/>
      <c r="P2409" s="3"/>
    </row>
    <row r="2410" spans="4:16" x14ac:dyDescent="0.25">
      <c r="D2410" s="2"/>
      <c r="F2410" s="3"/>
      <c r="G2410" s="3"/>
      <c r="H2410" s="3"/>
      <c r="I2410" s="3"/>
      <c r="J2410" s="3"/>
      <c r="K2410" s="3"/>
      <c r="M2410" s="10"/>
      <c r="N2410" s="3"/>
      <c r="O2410" s="3"/>
      <c r="P2410" s="3"/>
    </row>
    <row r="2411" spans="4:16" x14ac:dyDescent="0.25">
      <c r="D2411" s="2"/>
      <c r="F2411" s="3"/>
      <c r="G2411" s="3"/>
      <c r="H2411" s="3"/>
      <c r="I2411" s="3"/>
      <c r="J2411" s="3"/>
      <c r="K2411" s="3"/>
      <c r="M2411" s="10"/>
      <c r="N2411" s="3"/>
      <c r="O2411" s="3"/>
      <c r="P2411" s="3"/>
    </row>
    <row r="2412" spans="4:16" x14ac:dyDescent="0.25">
      <c r="D2412" s="2"/>
      <c r="F2412" s="3"/>
      <c r="G2412" s="3"/>
      <c r="H2412" s="3"/>
      <c r="I2412" s="3"/>
      <c r="J2412" s="3"/>
      <c r="K2412" s="3"/>
      <c r="M2412" s="10"/>
      <c r="N2412" s="3"/>
      <c r="O2412" s="3"/>
      <c r="P2412" s="3"/>
    </row>
    <row r="2413" spans="4:16" x14ac:dyDescent="0.25">
      <c r="D2413" s="2"/>
      <c r="F2413" s="3"/>
      <c r="G2413" s="3"/>
      <c r="H2413" s="3"/>
      <c r="I2413" s="3"/>
      <c r="J2413" s="3"/>
      <c r="K2413" s="3"/>
      <c r="M2413" s="10"/>
      <c r="N2413" s="3"/>
      <c r="O2413" s="3"/>
      <c r="P2413" s="3"/>
    </row>
    <row r="2414" spans="4:16" x14ac:dyDescent="0.25">
      <c r="D2414" s="2"/>
      <c r="F2414" s="3"/>
      <c r="G2414" s="3"/>
      <c r="H2414" s="3"/>
      <c r="I2414" s="3"/>
      <c r="J2414" s="3"/>
      <c r="K2414" s="3"/>
      <c r="M2414" s="10"/>
      <c r="N2414" s="3"/>
      <c r="O2414" s="3"/>
      <c r="P2414" s="3"/>
    </row>
    <row r="2415" spans="4:16" x14ac:dyDescent="0.25">
      <c r="D2415" s="2"/>
      <c r="F2415" s="3"/>
      <c r="G2415" s="3"/>
      <c r="H2415" s="3"/>
      <c r="I2415" s="3"/>
      <c r="J2415" s="3"/>
      <c r="K2415" s="3"/>
      <c r="M2415" s="10"/>
      <c r="N2415" s="3"/>
      <c r="O2415" s="3"/>
      <c r="P2415" s="3"/>
    </row>
    <row r="2416" spans="4:16" x14ac:dyDescent="0.25">
      <c r="D2416" s="2"/>
      <c r="F2416" s="3"/>
      <c r="G2416" s="3"/>
      <c r="H2416" s="3"/>
      <c r="I2416" s="3"/>
      <c r="J2416" s="3"/>
      <c r="K2416" s="3"/>
      <c r="M2416" s="10"/>
      <c r="N2416" s="3"/>
      <c r="O2416" s="3"/>
      <c r="P2416" s="3"/>
    </row>
    <row r="2417" spans="4:16" x14ac:dyDescent="0.25">
      <c r="D2417" s="2"/>
      <c r="F2417" s="3"/>
      <c r="G2417" s="3"/>
      <c r="H2417" s="3"/>
      <c r="I2417" s="3"/>
      <c r="J2417" s="3"/>
      <c r="K2417" s="3"/>
      <c r="M2417" s="10"/>
      <c r="N2417" s="3"/>
      <c r="O2417" s="3"/>
      <c r="P2417" s="3"/>
    </row>
    <row r="2418" spans="4:16" x14ac:dyDescent="0.25">
      <c r="D2418" s="2"/>
      <c r="F2418" s="3"/>
      <c r="G2418" s="3"/>
      <c r="H2418" s="3"/>
      <c r="I2418" s="3"/>
      <c r="J2418" s="3"/>
      <c r="K2418" s="3"/>
      <c r="M2418" s="10"/>
      <c r="N2418" s="3"/>
      <c r="O2418" s="3"/>
      <c r="P2418" s="3"/>
    </row>
    <row r="2419" spans="4:16" x14ac:dyDescent="0.25">
      <c r="D2419" s="2"/>
      <c r="F2419" s="3"/>
      <c r="G2419" s="3"/>
      <c r="H2419" s="3"/>
      <c r="I2419" s="3"/>
      <c r="J2419" s="3"/>
      <c r="K2419" s="3"/>
      <c r="M2419" s="10"/>
      <c r="N2419" s="3"/>
      <c r="O2419" s="3"/>
      <c r="P2419" s="3"/>
    </row>
    <row r="2420" spans="4:16" x14ac:dyDescent="0.25">
      <c r="D2420" s="2"/>
      <c r="F2420" s="3"/>
      <c r="G2420" s="3"/>
      <c r="H2420" s="3"/>
      <c r="I2420" s="3"/>
      <c r="J2420" s="3"/>
      <c r="K2420" s="3"/>
      <c r="M2420" s="10"/>
      <c r="N2420" s="3"/>
      <c r="O2420" s="3"/>
      <c r="P2420" s="3"/>
    </row>
    <row r="2421" spans="4:16" x14ac:dyDescent="0.25">
      <c r="D2421" s="2"/>
      <c r="F2421" s="3"/>
      <c r="G2421" s="3"/>
      <c r="H2421" s="3"/>
      <c r="I2421" s="3"/>
      <c r="J2421" s="3"/>
      <c r="K2421" s="3"/>
      <c r="M2421" s="10"/>
      <c r="N2421" s="3"/>
      <c r="O2421" s="3"/>
      <c r="P2421" s="3"/>
    </row>
    <row r="2422" spans="4:16" x14ac:dyDescent="0.25">
      <c r="D2422" s="2"/>
      <c r="F2422" s="3"/>
      <c r="G2422" s="3"/>
      <c r="H2422" s="3"/>
      <c r="I2422" s="3"/>
      <c r="J2422" s="3"/>
      <c r="K2422" s="3"/>
      <c r="M2422" s="10"/>
      <c r="N2422" s="3"/>
      <c r="O2422" s="3"/>
      <c r="P2422" s="3"/>
    </row>
    <row r="2423" spans="4:16" x14ac:dyDescent="0.25">
      <c r="D2423" s="2"/>
      <c r="F2423" s="3"/>
      <c r="G2423" s="3"/>
      <c r="H2423" s="3"/>
      <c r="I2423" s="3"/>
      <c r="J2423" s="3"/>
      <c r="K2423" s="3"/>
      <c r="M2423" s="10"/>
      <c r="N2423" s="3"/>
      <c r="O2423" s="3"/>
      <c r="P2423" s="3"/>
    </row>
    <row r="2424" spans="4:16" x14ac:dyDescent="0.25">
      <c r="D2424" s="2"/>
      <c r="F2424" s="3"/>
      <c r="G2424" s="3"/>
      <c r="H2424" s="3"/>
      <c r="I2424" s="3"/>
      <c r="J2424" s="3"/>
      <c r="K2424" s="3"/>
      <c r="M2424" s="10"/>
      <c r="N2424" s="3"/>
      <c r="O2424" s="3"/>
      <c r="P2424" s="3"/>
    </row>
    <row r="2425" spans="4:16" x14ac:dyDescent="0.25">
      <c r="D2425" s="2"/>
      <c r="F2425" s="3"/>
      <c r="G2425" s="3"/>
      <c r="H2425" s="3"/>
      <c r="I2425" s="3"/>
      <c r="J2425" s="3"/>
      <c r="K2425" s="3"/>
      <c r="M2425" s="10"/>
      <c r="N2425" s="3"/>
      <c r="O2425" s="3"/>
      <c r="P2425" s="3"/>
    </row>
    <row r="2426" spans="4:16" x14ac:dyDescent="0.25">
      <c r="D2426" s="2"/>
      <c r="F2426" s="3"/>
      <c r="G2426" s="3"/>
      <c r="H2426" s="3"/>
      <c r="I2426" s="3"/>
      <c r="J2426" s="3"/>
      <c r="K2426" s="3"/>
      <c r="M2426" s="10"/>
      <c r="N2426" s="3"/>
      <c r="O2426" s="3"/>
      <c r="P2426" s="3"/>
    </row>
    <row r="2427" spans="4:16" x14ac:dyDescent="0.25">
      <c r="D2427" s="2"/>
      <c r="F2427" s="3"/>
      <c r="G2427" s="3"/>
      <c r="H2427" s="3"/>
      <c r="I2427" s="3"/>
      <c r="J2427" s="3"/>
      <c r="K2427" s="3"/>
      <c r="M2427" s="10"/>
      <c r="N2427" s="3"/>
      <c r="O2427" s="3"/>
      <c r="P2427" s="3"/>
    </row>
    <row r="2428" spans="4:16" x14ac:dyDescent="0.25">
      <c r="D2428" s="2"/>
      <c r="F2428" s="3"/>
      <c r="G2428" s="3"/>
      <c r="H2428" s="3"/>
      <c r="I2428" s="3"/>
      <c r="J2428" s="3"/>
      <c r="K2428" s="3"/>
      <c r="M2428" s="10"/>
      <c r="N2428" s="3"/>
      <c r="O2428" s="3"/>
      <c r="P2428" s="3"/>
    </row>
    <row r="2429" spans="4:16" x14ac:dyDescent="0.25">
      <c r="D2429" s="2"/>
      <c r="F2429" s="3"/>
      <c r="G2429" s="3"/>
      <c r="H2429" s="3"/>
      <c r="I2429" s="3"/>
      <c r="J2429" s="3"/>
      <c r="K2429" s="3"/>
      <c r="M2429" s="10"/>
      <c r="N2429" s="3"/>
      <c r="O2429" s="3"/>
      <c r="P2429" s="3"/>
    </row>
    <row r="2430" spans="4:16" x14ac:dyDescent="0.25">
      <c r="D2430" s="2"/>
      <c r="F2430" s="3"/>
      <c r="G2430" s="3"/>
      <c r="H2430" s="3"/>
      <c r="I2430" s="3"/>
      <c r="J2430" s="3"/>
      <c r="K2430" s="3"/>
      <c r="M2430" s="10"/>
      <c r="N2430" s="3"/>
      <c r="O2430" s="3"/>
      <c r="P2430" s="3"/>
    </row>
    <row r="2431" spans="4:16" x14ac:dyDescent="0.25">
      <c r="D2431" s="2"/>
      <c r="F2431" s="3"/>
      <c r="G2431" s="3"/>
      <c r="H2431" s="3"/>
      <c r="I2431" s="3"/>
      <c r="J2431" s="3"/>
      <c r="K2431" s="3"/>
      <c r="M2431" s="10"/>
      <c r="N2431" s="3"/>
      <c r="O2431" s="3"/>
      <c r="P2431" s="3"/>
    </row>
    <row r="2432" spans="4:16" x14ac:dyDescent="0.25">
      <c r="D2432" s="2"/>
      <c r="F2432" s="3"/>
      <c r="G2432" s="3"/>
      <c r="H2432" s="3"/>
      <c r="I2432" s="3"/>
      <c r="J2432" s="3"/>
      <c r="K2432" s="3"/>
      <c r="M2432" s="10"/>
      <c r="N2432" s="3"/>
      <c r="O2432" s="3"/>
      <c r="P2432" s="3"/>
    </row>
    <row r="2433" spans="4:16" x14ac:dyDescent="0.25">
      <c r="D2433" s="2"/>
      <c r="F2433" s="3"/>
      <c r="G2433" s="3"/>
      <c r="H2433" s="3"/>
      <c r="I2433" s="3"/>
      <c r="J2433" s="3"/>
      <c r="K2433" s="3"/>
      <c r="M2433" s="10"/>
      <c r="N2433" s="3"/>
      <c r="O2433" s="3"/>
      <c r="P2433" s="3"/>
    </row>
    <row r="2434" spans="4:16" x14ac:dyDescent="0.25">
      <c r="D2434" s="2"/>
      <c r="F2434" s="3"/>
      <c r="G2434" s="3"/>
      <c r="H2434" s="3"/>
      <c r="I2434" s="3"/>
      <c r="J2434" s="3"/>
      <c r="K2434" s="3"/>
      <c r="M2434" s="10"/>
      <c r="N2434" s="3"/>
      <c r="O2434" s="3"/>
      <c r="P2434" s="3"/>
    </row>
    <row r="2435" spans="4:16" x14ac:dyDescent="0.25">
      <c r="D2435" s="2"/>
      <c r="F2435" s="3"/>
      <c r="G2435" s="3"/>
      <c r="H2435" s="3"/>
      <c r="I2435" s="3"/>
      <c r="J2435" s="3"/>
      <c r="K2435" s="3"/>
      <c r="M2435" s="10"/>
      <c r="N2435" s="3"/>
      <c r="O2435" s="3"/>
      <c r="P2435" s="3"/>
    </row>
    <row r="2436" spans="4:16" x14ac:dyDescent="0.25">
      <c r="D2436" s="2"/>
      <c r="F2436" s="3"/>
      <c r="G2436" s="3"/>
      <c r="H2436" s="3"/>
      <c r="I2436" s="3"/>
      <c r="J2436" s="3"/>
      <c r="K2436" s="3"/>
      <c r="M2436" s="10"/>
      <c r="N2436" s="3"/>
      <c r="O2436" s="3"/>
      <c r="P2436" s="3"/>
    </row>
    <row r="2437" spans="4:16" x14ac:dyDescent="0.25">
      <c r="D2437" s="2"/>
      <c r="F2437" s="7"/>
      <c r="G2437" s="7"/>
      <c r="H2437" s="7"/>
      <c r="I2437" s="7"/>
      <c r="J2437" s="7"/>
      <c r="K2437" s="7"/>
      <c r="M2437" s="6"/>
      <c r="N2437" s="3"/>
      <c r="O2437" s="3"/>
      <c r="P2437" s="3"/>
    </row>
    <row r="2438" spans="4:16" x14ac:dyDescent="0.25">
      <c r="D2438" s="2"/>
      <c r="F2438" s="7"/>
      <c r="G2438" s="7"/>
      <c r="H2438" s="7"/>
      <c r="I2438" s="7"/>
      <c r="J2438" s="7"/>
      <c r="K2438" s="7"/>
      <c r="M2438" s="6"/>
      <c r="N2438" s="3"/>
      <c r="O2438" s="3"/>
      <c r="P2438" s="3"/>
    </row>
    <row r="2439" spans="4:16" x14ac:dyDescent="0.25">
      <c r="D2439" s="2"/>
      <c r="F2439" s="7"/>
      <c r="G2439" s="7"/>
      <c r="H2439" s="7"/>
      <c r="I2439" s="7"/>
      <c r="J2439" s="7"/>
      <c r="K2439" s="7"/>
      <c r="M2439" s="6"/>
      <c r="N2439" s="3"/>
      <c r="O2439" s="3"/>
      <c r="P2439" s="3"/>
    </row>
    <row r="2440" spans="4:16" x14ac:dyDescent="0.25">
      <c r="D2440" s="2"/>
      <c r="F2440" s="7"/>
      <c r="G2440" s="7"/>
      <c r="H2440" s="7"/>
      <c r="I2440" s="7"/>
      <c r="J2440" s="7"/>
      <c r="K2440" s="7"/>
      <c r="M2440" s="6"/>
      <c r="N2440" s="3"/>
      <c r="O2440" s="3"/>
      <c r="P2440" s="3"/>
    </row>
    <row r="2441" spans="4:16" x14ac:dyDescent="0.25">
      <c r="D2441" s="2"/>
      <c r="F2441" s="7"/>
      <c r="G2441" s="7"/>
      <c r="H2441" s="7"/>
      <c r="I2441" s="7"/>
      <c r="J2441" s="7"/>
      <c r="K2441" s="7"/>
      <c r="M2441" s="6"/>
      <c r="N2441" s="3"/>
      <c r="O2441" s="3"/>
      <c r="P2441" s="3"/>
    </row>
    <row r="2442" spans="4:16" x14ac:dyDescent="0.25">
      <c r="D2442" s="2"/>
      <c r="F2442" s="7"/>
      <c r="G2442" s="7"/>
      <c r="H2442" s="7"/>
      <c r="I2442" s="7"/>
      <c r="J2442" s="7"/>
      <c r="K2442" s="7"/>
      <c r="M2442" s="6"/>
      <c r="N2442" s="3"/>
      <c r="O2442" s="3"/>
      <c r="P2442" s="3"/>
    </row>
    <row r="2443" spans="4:16" x14ac:dyDescent="0.25">
      <c r="D2443" s="2"/>
      <c r="F2443" s="7"/>
      <c r="G2443" s="7"/>
      <c r="H2443" s="7"/>
      <c r="I2443" s="7"/>
      <c r="J2443" s="7"/>
      <c r="K2443" s="7"/>
      <c r="M2443" s="6"/>
      <c r="N2443" s="3"/>
      <c r="O2443" s="3"/>
      <c r="P2443" s="3"/>
    </row>
    <row r="2444" spans="4:16" x14ac:dyDescent="0.25">
      <c r="D2444" s="2"/>
      <c r="F2444" s="7"/>
      <c r="G2444" s="7"/>
      <c r="H2444" s="7"/>
      <c r="I2444" s="7"/>
      <c r="J2444" s="7"/>
      <c r="K2444" s="7"/>
      <c r="M2444" s="6"/>
      <c r="N2444" s="3"/>
      <c r="O2444" s="3"/>
      <c r="P2444" s="3"/>
    </row>
    <row r="2445" spans="4:16" x14ac:dyDescent="0.25">
      <c r="D2445" s="2"/>
      <c r="F2445" s="7"/>
      <c r="G2445" s="7"/>
      <c r="H2445" s="7"/>
      <c r="I2445" s="7"/>
      <c r="J2445" s="7"/>
      <c r="K2445" s="7"/>
      <c r="M2445" s="6"/>
      <c r="N2445" s="3"/>
      <c r="O2445" s="3"/>
      <c r="P2445" s="3"/>
    </row>
    <row r="2446" spans="4:16" x14ac:dyDescent="0.25">
      <c r="D2446" s="2"/>
      <c r="F2446" s="7"/>
      <c r="G2446" s="7"/>
      <c r="H2446" s="7"/>
      <c r="I2446" s="7"/>
      <c r="J2446" s="7"/>
      <c r="K2446" s="7"/>
      <c r="M2446" s="6"/>
      <c r="N2446" s="3"/>
      <c r="O2446" s="3"/>
      <c r="P2446" s="3"/>
    </row>
    <row r="2447" spans="4:16" x14ac:dyDescent="0.25">
      <c r="D2447" s="2"/>
      <c r="F2447" s="7"/>
      <c r="G2447" s="7"/>
      <c r="H2447" s="7"/>
      <c r="I2447" s="7"/>
      <c r="J2447" s="7"/>
      <c r="K2447" s="7"/>
      <c r="M2447" s="6"/>
      <c r="N2447" s="3"/>
      <c r="O2447" s="3"/>
      <c r="P2447" s="3"/>
    </row>
    <row r="2448" spans="4:16" x14ac:dyDescent="0.25">
      <c r="D2448" s="2"/>
      <c r="F2448" s="7"/>
      <c r="G2448" s="7"/>
      <c r="H2448" s="7"/>
      <c r="I2448" s="7"/>
      <c r="J2448" s="7"/>
      <c r="K2448" s="7"/>
      <c r="M2448" s="6"/>
      <c r="N2448" s="3"/>
      <c r="O2448" s="3"/>
      <c r="P2448" s="3"/>
    </row>
    <row r="2449" spans="4:16" x14ac:dyDescent="0.25">
      <c r="D2449" s="2"/>
      <c r="F2449" s="7"/>
      <c r="G2449" s="7"/>
      <c r="H2449" s="7"/>
      <c r="I2449" s="7"/>
      <c r="J2449" s="7"/>
      <c r="K2449" s="7"/>
      <c r="M2449" s="6"/>
      <c r="N2449" s="3"/>
      <c r="O2449" s="3"/>
      <c r="P2449" s="3"/>
    </row>
    <row r="2450" spans="4:16" x14ac:dyDescent="0.25">
      <c r="D2450" s="2"/>
      <c r="F2450" s="7"/>
      <c r="G2450" s="7"/>
      <c r="H2450" s="7"/>
      <c r="I2450" s="7"/>
      <c r="J2450" s="7"/>
      <c r="K2450" s="7"/>
      <c r="M2450" s="6"/>
      <c r="N2450" s="3"/>
      <c r="O2450" s="3"/>
      <c r="P2450" s="3"/>
    </row>
    <row r="2451" spans="4:16" x14ac:dyDescent="0.25">
      <c r="D2451" s="2"/>
      <c r="F2451" s="7"/>
      <c r="G2451" s="7"/>
      <c r="H2451" s="7"/>
      <c r="I2451" s="7"/>
      <c r="J2451" s="7"/>
      <c r="K2451" s="7"/>
      <c r="M2451" s="6"/>
      <c r="N2451" s="3"/>
      <c r="O2451" s="3"/>
      <c r="P2451" s="3"/>
    </row>
    <row r="2452" spans="4:16" x14ac:dyDescent="0.25">
      <c r="D2452" s="2"/>
      <c r="F2452" s="7"/>
      <c r="G2452" s="7"/>
      <c r="H2452" s="7"/>
      <c r="I2452" s="7"/>
      <c r="J2452" s="7"/>
      <c r="K2452" s="7"/>
      <c r="M2452" s="6"/>
      <c r="N2452" s="3"/>
      <c r="O2452" s="3"/>
      <c r="P2452" s="3"/>
    </row>
    <row r="2453" spans="4:16" x14ac:dyDescent="0.25">
      <c r="D2453" s="2"/>
      <c r="F2453" s="7"/>
      <c r="G2453" s="7"/>
      <c r="H2453" s="7"/>
      <c r="I2453" s="7"/>
      <c r="J2453" s="7"/>
      <c r="K2453" s="7"/>
      <c r="M2453" s="6"/>
      <c r="N2453" s="3"/>
      <c r="O2453" s="3"/>
      <c r="P2453" s="3"/>
    </row>
    <row r="2454" spans="4:16" x14ac:dyDescent="0.25">
      <c r="D2454" s="2"/>
      <c r="F2454" s="7"/>
      <c r="G2454" s="7"/>
      <c r="H2454" s="7"/>
      <c r="I2454" s="7"/>
      <c r="J2454" s="7"/>
      <c r="K2454" s="7"/>
      <c r="M2454" s="6"/>
      <c r="N2454" s="3"/>
      <c r="O2454" s="3"/>
      <c r="P2454" s="3"/>
    </row>
    <row r="2455" spans="4:16" x14ac:dyDescent="0.25">
      <c r="D2455" s="2"/>
      <c r="F2455" s="7"/>
      <c r="G2455" s="7"/>
      <c r="H2455" s="7"/>
      <c r="I2455" s="7"/>
      <c r="J2455" s="7"/>
      <c r="K2455" s="7"/>
      <c r="M2455" s="6"/>
      <c r="N2455" s="3"/>
      <c r="O2455" s="3"/>
      <c r="P2455" s="3"/>
    </row>
    <row r="2456" spans="4:16" x14ac:dyDescent="0.25">
      <c r="D2456" s="2"/>
      <c r="F2456" s="7"/>
      <c r="G2456" s="7"/>
      <c r="H2456" s="7"/>
      <c r="I2456" s="7"/>
      <c r="J2456" s="7"/>
      <c r="K2456" s="7"/>
      <c r="M2456" s="6"/>
      <c r="N2456" s="3"/>
      <c r="O2456" s="3"/>
      <c r="P2456" s="3"/>
    </row>
    <row r="2457" spans="4:16" x14ac:dyDescent="0.25">
      <c r="D2457" s="2"/>
      <c r="F2457" s="7"/>
      <c r="G2457" s="7"/>
      <c r="H2457" s="7"/>
      <c r="I2457" s="7"/>
      <c r="J2457" s="7"/>
      <c r="K2457" s="7"/>
      <c r="M2457" s="6"/>
      <c r="N2457" s="3"/>
      <c r="O2457" s="3"/>
      <c r="P2457" s="3"/>
    </row>
    <row r="2458" spans="4:16" x14ac:dyDescent="0.25">
      <c r="D2458" s="2"/>
      <c r="F2458" s="7"/>
      <c r="G2458" s="7"/>
      <c r="H2458" s="7"/>
      <c r="I2458" s="7"/>
      <c r="J2458" s="7"/>
      <c r="K2458" s="7"/>
      <c r="M2458" s="6"/>
      <c r="N2458" s="3"/>
      <c r="O2458" s="3"/>
      <c r="P2458" s="3"/>
    </row>
    <row r="2459" spans="4:16" x14ac:dyDescent="0.25">
      <c r="D2459" s="2"/>
      <c r="F2459" s="7"/>
      <c r="G2459" s="7"/>
      <c r="H2459" s="7"/>
      <c r="I2459" s="7"/>
      <c r="J2459" s="7"/>
      <c r="K2459" s="7"/>
      <c r="M2459" s="6"/>
      <c r="N2459" s="3"/>
      <c r="O2459" s="3"/>
      <c r="P2459" s="3"/>
    </row>
    <row r="2460" spans="4:16" x14ac:dyDescent="0.25">
      <c r="D2460" s="2"/>
      <c r="F2460" s="7"/>
      <c r="G2460" s="7"/>
      <c r="H2460" s="7"/>
      <c r="I2460" s="7"/>
      <c r="J2460" s="7"/>
      <c r="K2460" s="7"/>
      <c r="M2460" s="6"/>
      <c r="N2460" s="3"/>
      <c r="O2460" s="3"/>
      <c r="P2460" s="3"/>
    </row>
    <row r="2461" spans="4:16" x14ac:dyDescent="0.25">
      <c r="D2461" s="2"/>
      <c r="F2461" s="7"/>
      <c r="G2461" s="7"/>
      <c r="H2461" s="7"/>
      <c r="I2461" s="7"/>
      <c r="J2461" s="7"/>
      <c r="K2461" s="7"/>
      <c r="M2461" s="6"/>
      <c r="N2461" s="3"/>
      <c r="O2461" s="3"/>
      <c r="P2461" s="3"/>
    </row>
    <row r="2462" spans="4:16" x14ac:dyDescent="0.25">
      <c r="D2462" s="2"/>
      <c r="F2462" s="7"/>
      <c r="G2462" s="7"/>
      <c r="H2462" s="7"/>
      <c r="I2462" s="7"/>
      <c r="J2462" s="7"/>
      <c r="K2462" s="7"/>
      <c r="M2462" s="6"/>
      <c r="N2462" s="3"/>
      <c r="O2462" s="3"/>
      <c r="P2462" s="3"/>
    </row>
    <row r="2463" spans="4:16" x14ac:dyDescent="0.25">
      <c r="D2463" s="2"/>
      <c r="F2463" s="7"/>
      <c r="G2463" s="7"/>
      <c r="H2463" s="7"/>
      <c r="I2463" s="7"/>
      <c r="J2463" s="7"/>
      <c r="K2463" s="7"/>
      <c r="M2463" s="6"/>
      <c r="N2463" s="3"/>
      <c r="O2463" s="3"/>
      <c r="P2463" s="3"/>
    </row>
    <row r="2464" spans="4:16" x14ac:dyDescent="0.25">
      <c r="D2464" s="2"/>
      <c r="F2464" s="7"/>
      <c r="G2464" s="7"/>
      <c r="H2464" s="7"/>
      <c r="I2464" s="7"/>
      <c r="J2464" s="7"/>
      <c r="K2464" s="7"/>
      <c r="M2464" s="6"/>
      <c r="N2464" s="3"/>
      <c r="O2464" s="3"/>
      <c r="P2464" s="3"/>
    </row>
    <row r="2465" spans="4:16" x14ac:dyDescent="0.25">
      <c r="D2465" s="2"/>
      <c r="F2465" s="7"/>
      <c r="G2465" s="7"/>
      <c r="H2465" s="7"/>
      <c r="I2465" s="7"/>
      <c r="J2465" s="7"/>
      <c r="K2465" s="7"/>
      <c r="M2465" s="6"/>
      <c r="N2465" s="3"/>
      <c r="O2465" s="3"/>
      <c r="P2465" s="3"/>
    </row>
    <row r="2466" spans="4:16" x14ac:dyDescent="0.25">
      <c r="D2466" s="2"/>
      <c r="F2466" s="7"/>
      <c r="G2466" s="7"/>
      <c r="H2466" s="7"/>
      <c r="I2466" s="7"/>
      <c r="J2466" s="7"/>
      <c r="K2466" s="7"/>
      <c r="M2466" s="6"/>
      <c r="N2466" s="3"/>
      <c r="O2466" s="3"/>
      <c r="P2466" s="3"/>
    </row>
    <row r="2467" spans="4:16" x14ac:dyDescent="0.25">
      <c r="D2467" s="2"/>
      <c r="F2467" s="7"/>
      <c r="G2467" s="7"/>
      <c r="H2467" s="7"/>
      <c r="I2467" s="7"/>
      <c r="J2467" s="7"/>
      <c r="K2467" s="7"/>
      <c r="M2467" s="6"/>
      <c r="N2467" s="3"/>
      <c r="O2467" s="3"/>
      <c r="P2467" s="3"/>
    </row>
    <row r="2468" spans="4:16" x14ac:dyDescent="0.25">
      <c r="D2468" s="2"/>
      <c r="F2468" s="7"/>
      <c r="G2468" s="7"/>
      <c r="H2468" s="7"/>
      <c r="I2468" s="7"/>
      <c r="J2468" s="7"/>
      <c r="K2468" s="7"/>
      <c r="M2468" s="6"/>
      <c r="N2468" s="3"/>
      <c r="O2468" s="3"/>
      <c r="P2468" s="3"/>
    </row>
    <row r="2469" spans="4:16" x14ac:dyDescent="0.25">
      <c r="D2469" s="2"/>
      <c r="F2469" s="7"/>
      <c r="G2469" s="7"/>
      <c r="H2469" s="7"/>
      <c r="I2469" s="7"/>
      <c r="J2469" s="7"/>
      <c r="K2469" s="7"/>
      <c r="M2469" s="6"/>
      <c r="N2469" s="3"/>
      <c r="O2469" s="3"/>
      <c r="P2469" s="3"/>
    </row>
    <row r="2470" spans="4:16" x14ac:dyDescent="0.25">
      <c r="D2470" s="2"/>
      <c r="F2470" s="7"/>
      <c r="G2470" s="7"/>
      <c r="H2470" s="7"/>
      <c r="I2470" s="7"/>
      <c r="J2470" s="7"/>
      <c r="K2470" s="7"/>
      <c r="M2470" s="6"/>
      <c r="N2470" s="3"/>
      <c r="O2470" s="3"/>
      <c r="P2470" s="3"/>
    </row>
    <row r="2471" spans="4:16" x14ac:dyDescent="0.25">
      <c r="D2471" s="2"/>
      <c r="F2471" s="7"/>
      <c r="G2471" s="7"/>
      <c r="H2471" s="7"/>
      <c r="I2471" s="7"/>
      <c r="J2471" s="7"/>
      <c r="K2471" s="7"/>
      <c r="M2471" s="6"/>
      <c r="N2471" s="3"/>
      <c r="O2471" s="3"/>
      <c r="P2471" s="3"/>
    </row>
    <row r="2472" spans="4:16" x14ac:dyDescent="0.25">
      <c r="D2472" s="2"/>
      <c r="F2472" s="7"/>
      <c r="G2472" s="7"/>
      <c r="H2472" s="7"/>
      <c r="I2472" s="7"/>
      <c r="J2472" s="7"/>
      <c r="K2472" s="7"/>
      <c r="M2472" s="6"/>
      <c r="N2472" s="3"/>
      <c r="O2472" s="3"/>
      <c r="P2472" s="3"/>
    </row>
    <row r="2473" spans="4:16" x14ac:dyDescent="0.25">
      <c r="D2473" s="2"/>
      <c r="F2473" s="7"/>
      <c r="G2473" s="7"/>
      <c r="H2473" s="7"/>
      <c r="I2473" s="7"/>
      <c r="J2473" s="7"/>
      <c r="K2473" s="7"/>
      <c r="M2473" s="6"/>
      <c r="N2473" s="3"/>
      <c r="O2473" s="3"/>
      <c r="P2473" s="3"/>
    </row>
    <row r="2474" spans="4:16" x14ac:dyDescent="0.25">
      <c r="D2474" s="2"/>
      <c r="F2474" s="7"/>
      <c r="G2474" s="7"/>
      <c r="H2474" s="7"/>
      <c r="I2474" s="7"/>
      <c r="J2474" s="7"/>
      <c r="K2474" s="7"/>
      <c r="M2474" s="6"/>
      <c r="N2474" s="3"/>
      <c r="O2474" s="3"/>
      <c r="P2474" s="3"/>
    </row>
    <row r="2475" spans="4:16" x14ac:dyDescent="0.25">
      <c r="D2475" s="2"/>
      <c r="F2475" s="7"/>
      <c r="G2475" s="7"/>
      <c r="H2475" s="7"/>
      <c r="I2475" s="7"/>
      <c r="J2475" s="7"/>
      <c r="K2475" s="7"/>
      <c r="M2475" s="6"/>
      <c r="N2475" s="3"/>
      <c r="O2475" s="3"/>
      <c r="P2475" s="3"/>
    </row>
    <row r="2476" spans="4:16" x14ac:dyDescent="0.25">
      <c r="D2476" s="2"/>
      <c r="F2476" s="7"/>
      <c r="G2476" s="7"/>
      <c r="H2476" s="7"/>
      <c r="I2476" s="7"/>
      <c r="J2476" s="7"/>
      <c r="K2476" s="7"/>
      <c r="M2476" s="6"/>
      <c r="N2476" s="3"/>
      <c r="O2476" s="3"/>
      <c r="P2476" s="3"/>
    </row>
    <row r="2477" spans="4:16" x14ac:dyDescent="0.25">
      <c r="D2477" s="2"/>
      <c r="F2477" s="7"/>
      <c r="G2477" s="7"/>
      <c r="H2477" s="7"/>
      <c r="I2477" s="7"/>
      <c r="J2477" s="7"/>
      <c r="K2477" s="7"/>
      <c r="M2477" s="6"/>
      <c r="N2477" s="3"/>
      <c r="O2477" s="3"/>
      <c r="P2477" s="3"/>
    </row>
    <row r="2478" spans="4:16" x14ac:dyDescent="0.25">
      <c r="D2478" s="2"/>
      <c r="F2478" s="7"/>
      <c r="G2478" s="7"/>
      <c r="H2478" s="7"/>
      <c r="I2478" s="7"/>
      <c r="J2478" s="7"/>
      <c r="K2478" s="7"/>
      <c r="M2478" s="6"/>
      <c r="N2478" s="3"/>
      <c r="O2478" s="3"/>
      <c r="P2478" s="3"/>
    </row>
    <row r="2479" spans="4:16" x14ac:dyDescent="0.25">
      <c r="D2479" s="2"/>
      <c r="F2479" s="7"/>
      <c r="G2479" s="7"/>
      <c r="H2479" s="7"/>
      <c r="I2479" s="7"/>
      <c r="J2479" s="7"/>
      <c r="K2479" s="7"/>
      <c r="M2479" s="6"/>
      <c r="N2479" s="3"/>
      <c r="O2479" s="3"/>
      <c r="P2479" s="3"/>
    </row>
    <row r="2480" spans="4:16" x14ac:dyDescent="0.25">
      <c r="D2480" s="2"/>
      <c r="F2480" s="7"/>
      <c r="G2480" s="7"/>
      <c r="H2480" s="7"/>
      <c r="I2480" s="7"/>
      <c r="J2480" s="7"/>
      <c r="K2480" s="7"/>
      <c r="M2480" s="6"/>
      <c r="N2480" s="3"/>
      <c r="O2480" s="3"/>
      <c r="P2480" s="3"/>
    </row>
    <row r="2481" spans="4:16" x14ac:dyDescent="0.25">
      <c r="D2481" s="2"/>
      <c r="F2481" s="7"/>
      <c r="G2481" s="7"/>
      <c r="H2481" s="7"/>
      <c r="I2481" s="7"/>
      <c r="J2481" s="7"/>
      <c r="K2481" s="7"/>
      <c r="M2481" s="6"/>
      <c r="N2481" s="3"/>
      <c r="O2481" s="3"/>
      <c r="P2481" s="3"/>
    </row>
    <row r="2482" spans="4:16" x14ac:dyDescent="0.25">
      <c r="D2482" s="2"/>
      <c r="F2482" s="7"/>
      <c r="G2482" s="7"/>
      <c r="H2482" s="7"/>
      <c r="I2482" s="7"/>
      <c r="J2482" s="7"/>
      <c r="K2482" s="7"/>
      <c r="M2482" s="6"/>
      <c r="N2482" s="3"/>
      <c r="O2482" s="3"/>
      <c r="P2482" s="3"/>
    </row>
    <row r="2483" spans="4:16" x14ac:dyDescent="0.25">
      <c r="D2483" s="2"/>
      <c r="F2483" s="7"/>
      <c r="G2483" s="7"/>
      <c r="H2483" s="7"/>
      <c r="I2483" s="7"/>
      <c r="J2483" s="7"/>
      <c r="K2483" s="7"/>
      <c r="M2483" s="6"/>
      <c r="N2483" s="3"/>
      <c r="O2483" s="3"/>
      <c r="P2483" s="3"/>
    </row>
    <row r="2484" spans="4:16" x14ac:dyDescent="0.25">
      <c r="D2484" s="2"/>
      <c r="F2484" s="7"/>
      <c r="G2484" s="7"/>
      <c r="H2484" s="7"/>
      <c r="I2484" s="7"/>
      <c r="J2484" s="7"/>
      <c r="K2484" s="7"/>
      <c r="M2484" s="6"/>
      <c r="N2484" s="3"/>
      <c r="O2484" s="3"/>
      <c r="P2484" s="3"/>
    </row>
    <row r="2485" spans="4:16" x14ac:dyDescent="0.25">
      <c r="D2485" s="2"/>
      <c r="F2485" s="7"/>
      <c r="G2485" s="7"/>
      <c r="H2485" s="7"/>
      <c r="I2485" s="7"/>
      <c r="J2485" s="7"/>
      <c r="K2485" s="7"/>
      <c r="M2485" s="6"/>
      <c r="N2485" s="3"/>
      <c r="O2485" s="3"/>
      <c r="P2485" s="3"/>
    </row>
    <row r="2486" spans="4:16" x14ac:dyDescent="0.25">
      <c r="D2486" s="2"/>
      <c r="F2486" s="7"/>
      <c r="G2486" s="7"/>
      <c r="H2486" s="7"/>
      <c r="I2486" s="7"/>
      <c r="J2486" s="7"/>
      <c r="K2486" s="7"/>
      <c r="M2486" s="6"/>
      <c r="N2486" s="3"/>
      <c r="O2486" s="3"/>
      <c r="P2486" s="3"/>
    </row>
    <row r="2487" spans="4:16" x14ac:dyDescent="0.25">
      <c r="D2487" s="2"/>
      <c r="F2487" s="7"/>
      <c r="G2487" s="7"/>
      <c r="H2487" s="7"/>
      <c r="I2487" s="7"/>
      <c r="J2487" s="7"/>
      <c r="K2487" s="7"/>
      <c r="M2487" s="6"/>
      <c r="N2487" s="3"/>
      <c r="O2487" s="3"/>
      <c r="P2487" s="3"/>
    </row>
    <row r="2488" spans="4:16" x14ac:dyDescent="0.25">
      <c r="D2488" s="2"/>
      <c r="F2488" s="7"/>
      <c r="G2488" s="7"/>
      <c r="H2488" s="7"/>
      <c r="I2488" s="7"/>
      <c r="J2488" s="7"/>
      <c r="K2488" s="7"/>
      <c r="M2488" s="6"/>
      <c r="N2488" s="3"/>
      <c r="O2488" s="3"/>
      <c r="P2488" s="3"/>
    </row>
    <row r="2489" spans="4:16" x14ac:dyDescent="0.25">
      <c r="D2489" s="2"/>
      <c r="F2489" s="7"/>
      <c r="G2489" s="7"/>
      <c r="H2489" s="7"/>
      <c r="I2489" s="7"/>
      <c r="J2489" s="7"/>
      <c r="K2489" s="7"/>
      <c r="M2489" s="6"/>
      <c r="N2489" s="3"/>
      <c r="O2489" s="3"/>
      <c r="P2489" s="3"/>
    </row>
    <row r="2490" spans="4:16" x14ac:dyDescent="0.25">
      <c r="D2490" s="2"/>
      <c r="F2490" s="7"/>
      <c r="G2490" s="7"/>
      <c r="H2490" s="7"/>
      <c r="I2490" s="7"/>
      <c r="J2490" s="7"/>
      <c r="K2490" s="7"/>
      <c r="M2490" s="6"/>
      <c r="N2490" s="3"/>
      <c r="O2490" s="3"/>
      <c r="P2490" s="3"/>
    </row>
    <row r="2491" spans="4:16" x14ac:dyDescent="0.25">
      <c r="D2491" s="2"/>
      <c r="F2491" s="7"/>
      <c r="G2491" s="7"/>
      <c r="H2491" s="7"/>
      <c r="I2491" s="7"/>
      <c r="J2491" s="7"/>
      <c r="K2491" s="7"/>
      <c r="M2491" s="6"/>
      <c r="N2491" s="3"/>
      <c r="O2491" s="3"/>
      <c r="P2491" s="3"/>
    </row>
    <row r="2492" spans="4:16" x14ac:dyDescent="0.25">
      <c r="D2492" s="2"/>
      <c r="F2492" s="7"/>
      <c r="G2492" s="7"/>
      <c r="H2492" s="7"/>
      <c r="I2492" s="7"/>
      <c r="J2492" s="7"/>
      <c r="K2492" s="7"/>
      <c r="M2492" s="6"/>
      <c r="N2492" s="3"/>
      <c r="O2492" s="3"/>
      <c r="P2492" s="3"/>
    </row>
    <row r="2493" spans="4:16" x14ac:dyDescent="0.25">
      <c r="D2493" s="2"/>
      <c r="F2493" s="7"/>
      <c r="G2493" s="7"/>
      <c r="H2493" s="7"/>
      <c r="I2493" s="7"/>
      <c r="J2493" s="7"/>
      <c r="K2493" s="7"/>
      <c r="M2493" s="6"/>
      <c r="N2493" s="3"/>
      <c r="O2493" s="3"/>
      <c r="P2493" s="3"/>
    </row>
    <row r="2494" spans="4:16" x14ac:dyDescent="0.25">
      <c r="D2494" s="2"/>
      <c r="F2494" s="7"/>
      <c r="G2494" s="7"/>
      <c r="H2494" s="7"/>
      <c r="I2494" s="7"/>
      <c r="J2494" s="7"/>
      <c r="K2494" s="7"/>
      <c r="M2494" s="6"/>
      <c r="N2494" s="3"/>
      <c r="O2494" s="3"/>
      <c r="P2494" s="3"/>
    </row>
    <row r="2495" spans="4:16" x14ac:dyDescent="0.25">
      <c r="D2495" s="2"/>
      <c r="F2495" s="7"/>
      <c r="G2495" s="7"/>
      <c r="H2495" s="7"/>
      <c r="I2495" s="7"/>
      <c r="J2495" s="7"/>
      <c r="K2495" s="7"/>
      <c r="M2495" s="6"/>
      <c r="N2495" s="3"/>
      <c r="O2495" s="3"/>
      <c r="P2495" s="3"/>
    </row>
    <row r="2496" spans="4:16" x14ac:dyDescent="0.25">
      <c r="D2496" s="2"/>
      <c r="F2496" s="7"/>
      <c r="G2496" s="7"/>
      <c r="H2496" s="7"/>
      <c r="I2496" s="7"/>
      <c r="J2496" s="7"/>
      <c r="K2496" s="7"/>
      <c r="M2496" s="6"/>
      <c r="N2496" s="3"/>
      <c r="O2496" s="3"/>
      <c r="P2496" s="3"/>
    </row>
    <row r="2497" spans="4:16" x14ac:dyDescent="0.25">
      <c r="D2497" s="2"/>
      <c r="F2497" s="7"/>
      <c r="G2497" s="7"/>
      <c r="H2497" s="7"/>
      <c r="I2497" s="7"/>
      <c r="J2497" s="7"/>
      <c r="K2497" s="7"/>
      <c r="M2497" s="6"/>
      <c r="N2497" s="3"/>
      <c r="O2497" s="3"/>
      <c r="P2497" s="3"/>
    </row>
    <row r="2498" spans="4:16" x14ac:dyDescent="0.25">
      <c r="D2498" s="2"/>
      <c r="F2498" s="7"/>
      <c r="G2498" s="7"/>
      <c r="H2498" s="7"/>
      <c r="I2498" s="7"/>
      <c r="J2498" s="7"/>
      <c r="K2498" s="7"/>
      <c r="M2498" s="6"/>
      <c r="N2498" s="3"/>
      <c r="O2498" s="3"/>
      <c r="P2498" s="3"/>
    </row>
    <row r="2499" spans="4:16" x14ac:dyDescent="0.25">
      <c r="D2499" s="2"/>
      <c r="F2499" s="7"/>
      <c r="G2499" s="7"/>
      <c r="H2499" s="7"/>
      <c r="I2499" s="7"/>
      <c r="J2499" s="7"/>
      <c r="K2499" s="7"/>
      <c r="M2499" s="6"/>
      <c r="N2499" s="3"/>
      <c r="O2499" s="3"/>
      <c r="P2499" s="3"/>
    </row>
    <row r="2500" spans="4:16" x14ac:dyDescent="0.25">
      <c r="D2500" s="2"/>
      <c r="F2500" s="7"/>
      <c r="G2500" s="7"/>
      <c r="H2500" s="7"/>
      <c r="I2500" s="7"/>
      <c r="J2500" s="7"/>
      <c r="K2500" s="7"/>
      <c r="M2500" s="6"/>
      <c r="N2500" s="3"/>
      <c r="O2500" s="3"/>
      <c r="P2500" s="3"/>
    </row>
    <row r="2501" spans="4:16" x14ac:dyDescent="0.25">
      <c r="D2501" s="2"/>
      <c r="F2501" s="7"/>
      <c r="G2501" s="7"/>
      <c r="H2501" s="7"/>
      <c r="I2501" s="7"/>
      <c r="J2501" s="7"/>
      <c r="K2501" s="7"/>
      <c r="M2501" s="6"/>
      <c r="N2501" s="3"/>
      <c r="O2501" s="3"/>
      <c r="P2501" s="3"/>
    </row>
    <row r="2502" spans="4:16" x14ac:dyDescent="0.25">
      <c r="D2502" s="2"/>
      <c r="F2502" s="7"/>
      <c r="G2502" s="7"/>
      <c r="H2502" s="7"/>
      <c r="I2502" s="7"/>
      <c r="J2502" s="7"/>
      <c r="K2502" s="7"/>
      <c r="M2502" s="6"/>
      <c r="N2502" s="3"/>
      <c r="O2502" s="3"/>
      <c r="P2502" s="3"/>
    </row>
    <row r="2503" spans="4:16" x14ac:dyDescent="0.25">
      <c r="D2503" s="2"/>
      <c r="F2503" s="7"/>
      <c r="G2503" s="7"/>
      <c r="H2503" s="7"/>
      <c r="I2503" s="7"/>
      <c r="J2503" s="7"/>
      <c r="K2503" s="7"/>
      <c r="M2503" s="6"/>
      <c r="N2503" s="3"/>
      <c r="O2503" s="3"/>
      <c r="P2503" s="3"/>
    </row>
    <row r="2504" spans="4:16" x14ac:dyDescent="0.25">
      <c r="D2504" s="2"/>
      <c r="F2504" s="7"/>
      <c r="G2504" s="7"/>
      <c r="H2504" s="7"/>
      <c r="I2504" s="7"/>
      <c r="J2504" s="7"/>
      <c r="K2504" s="7"/>
      <c r="M2504" s="6"/>
      <c r="N2504" s="3"/>
      <c r="O2504" s="3"/>
      <c r="P2504" s="3"/>
    </row>
    <row r="2505" spans="4:16" x14ac:dyDescent="0.25">
      <c r="D2505" s="2"/>
      <c r="F2505" s="7"/>
      <c r="G2505" s="7"/>
      <c r="H2505" s="7"/>
      <c r="I2505" s="7"/>
      <c r="J2505" s="7"/>
      <c r="K2505" s="7"/>
      <c r="M2505" s="6"/>
      <c r="N2505" s="3"/>
      <c r="O2505" s="3"/>
      <c r="P2505" s="3"/>
    </row>
    <row r="2506" spans="4:16" x14ac:dyDescent="0.25">
      <c r="D2506" s="2"/>
      <c r="F2506" s="7"/>
      <c r="G2506" s="7"/>
      <c r="H2506" s="7"/>
      <c r="I2506" s="7"/>
      <c r="J2506" s="7"/>
      <c r="K2506" s="7"/>
      <c r="M2506" s="6"/>
      <c r="N2506" s="3"/>
      <c r="O2506" s="3"/>
      <c r="P2506" s="3"/>
    </row>
    <row r="2507" spans="4:16" x14ac:dyDescent="0.25">
      <c r="D2507" s="2"/>
      <c r="F2507" s="7"/>
      <c r="G2507" s="7"/>
      <c r="H2507" s="7"/>
      <c r="I2507" s="7"/>
      <c r="J2507" s="7"/>
      <c r="K2507" s="7"/>
      <c r="M2507" s="6"/>
      <c r="N2507" s="3"/>
      <c r="O2507" s="3"/>
      <c r="P2507" s="3"/>
    </row>
    <row r="2508" spans="4:16" x14ac:dyDescent="0.25">
      <c r="D2508" s="2"/>
      <c r="F2508" s="7"/>
      <c r="G2508" s="7"/>
      <c r="H2508" s="7"/>
      <c r="I2508" s="7"/>
      <c r="J2508" s="7"/>
      <c r="K2508" s="7"/>
      <c r="M2508" s="6"/>
      <c r="N2508" s="3"/>
      <c r="O2508" s="3"/>
      <c r="P2508" s="3"/>
    </row>
    <row r="2509" spans="4:16" x14ac:dyDescent="0.25">
      <c r="D2509" s="2"/>
      <c r="F2509" s="7"/>
      <c r="G2509" s="7"/>
      <c r="H2509" s="7"/>
      <c r="I2509" s="7"/>
      <c r="J2509" s="7"/>
      <c r="K2509" s="7"/>
      <c r="M2509" s="6"/>
      <c r="N2509" s="3"/>
      <c r="O2509" s="3"/>
      <c r="P2509" s="3"/>
    </row>
    <row r="2510" spans="4:16" x14ac:dyDescent="0.25">
      <c r="D2510" s="2"/>
      <c r="F2510" s="7"/>
      <c r="G2510" s="7"/>
      <c r="H2510" s="7"/>
      <c r="I2510" s="7"/>
      <c r="J2510" s="7"/>
      <c r="K2510" s="7"/>
      <c r="M2510" s="6"/>
      <c r="N2510" s="3"/>
      <c r="O2510" s="3"/>
      <c r="P2510" s="3"/>
    </row>
    <row r="2511" spans="4:16" x14ac:dyDescent="0.25">
      <c r="D2511" s="2"/>
      <c r="F2511" s="7"/>
      <c r="G2511" s="7"/>
      <c r="H2511" s="7"/>
      <c r="I2511" s="7"/>
      <c r="J2511" s="7"/>
      <c r="K2511" s="7"/>
      <c r="M2511" s="6"/>
      <c r="N2511" s="3"/>
      <c r="O2511" s="3"/>
      <c r="P2511" s="3"/>
    </row>
    <row r="2512" spans="4:16" x14ac:dyDescent="0.25">
      <c r="D2512" s="2"/>
      <c r="F2512" s="7"/>
      <c r="G2512" s="7"/>
      <c r="H2512" s="7"/>
      <c r="I2512" s="7"/>
      <c r="J2512" s="7"/>
      <c r="K2512" s="7"/>
      <c r="M2512" s="6"/>
      <c r="N2512" s="3"/>
      <c r="O2512" s="3"/>
      <c r="P2512" s="3"/>
    </row>
    <row r="2513" spans="4:16" x14ac:dyDescent="0.25">
      <c r="D2513" s="2"/>
      <c r="F2513" s="7"/>
      <c r="G2513" s="7"/>
      <c r="H2513" s="7"/>
      <c r="I2513" s="7"/>
      <c r="J2513" s="7"/>
      <c r="K2513" s="7"/>
      <c r="M2513" s="6"/>
      <c r="N2513" s="3"/>
      <c r="O2513" s="3"/>
      <c r="P2513" s="3"/>
    </row>
    <row r="2514" spans="4:16" x14ac:dyDescent="0.25">
      <c r="D2514" s="2"/>
      <c r="F2514" s="7"/>
      <c r="G2514" s="7"/>
      <c r="H2514" s="7"/>
      <c r="I2514" s="7"/>
      <c r="J2514" s="7"/>
      <c r="K2514" s="7"/>
      <c r="M2514" s="6"/>
      <c r="N2514" s="3"/>
      <c r="O2514" s="3"/>
      <c r="P2514" s="3"/>
    </row>
    <row r="2515" spans="4:16" x14ac:dyDescent="0.25">
      <c r="D2515" s="2"/>
      <c r="F2515" s="7"/>
      <c r="G2515" s="7"/>
      <c r="H2515" s="7"/>
      <c r="I2515" s="7"/>
      <c r="J2515" s="7"/>
      <c r="K2515" s="7"/>
      <c r="M2515" s="6"/>
      <c r="N2515" s="3"/>
      <c r="O2515" s="3"/>
      <c r="P2515" s="3"/>
    </row>
    <row r="2516" spans="4:16" x14ac:dyDescent="0.25">
      <c r="D2516" s="2"/>
      <c r="F2516" s="7"/>
      <c r="G2516" s="7"/>
      <c r="H2516" s="7"/>
      <c r="I2516" s="7"/>
      <c r="J2516" s="7"/>
      <c r="K2516" s="7"/>
      <c r="M2516" s="6"/>
      <c r="N2516" s="3"/>
      <c r="O2516" s="3"/>
      <c r="P2516" s="3"/>
    </row>
    <row r="2517" spans="4:16" x14ac:dyDescent="0.25">
      <c r="D2517" s="2"/>
      <c r="F2517" s="7"/>
      <c r="G2517" s="7"/>
      <c r="H2517" s="7"/>
      <c r="I2517" s="7"/>
      <c r="J2517" s="7"/>
      <c r="K2517" s="7"/>
      <c r="M2517" s="6"/>
      <c r="N2517" s="3"/>
      <c r="O2517" s="3"/>
      <c r="P2517" s="3"/>
    </row>
    <row r="2518" spans="4:16" x14ac:dyDescent="0.25">
      <c r="D2518" s="2"/>
      <c r="F2518" s="7"/>
      <c r="G2518" s="7"/>
      <c r="H2518" s="7"/>
      <c r="I2518" s="7"/>
      <c r="J2518" s="7"/>
      <c r="K2518" s="7"/>
      <c r="M2518" s="6"/>
      <c r="N2518" s="3"/>
      <c r="O2518" s="3"/>
      <c r="P2518" s="3"/>
    </row>
    <row r="2519" spans="4:16" x14ac:dyDescent="0.25">
      <c r="D2519" s="2"/>
      <c r="F2519" s="7"/>
      <c r="G2519" s="7"/>
      <c r="H2519" s="7"/>
      <c r="I2519" s="7"/>
      <c r="J2519" s="7"/>
      <c r="K2519" s="7"/>
      <c r="M2519" s="6"/>
      <c r="N2519" s="3"/>
      <c r="O2519" s="3"/>
      <c r="P2519" s="3"/>
    </row>
    <row r="2520" spans="4:16" x14ac:dyDescent="0.25">
      <c r="D2520" s="2"/>
      <c r="F2520" s="7"/>
      <c r="G2520" s="7"/>
      <c r="H2520" s="7"/>
      <c r="I2520" s="7"/>
      <c r="J2520" s="7"/>
      <c r="K2520" s="7"/>
      <c r="M2520" s="6"/>
      <c r="N2520" s="3"/>
      <c r="O2520" s="3"/>
      <c r="P2520" s="3"/>
    </row>
    <row r="2521" spans="4:16" x14ac:dyDescent="0.25">
      <c r="D2521" s="2"/>
      <c r="F2521" s="7"/>
      <c r="G2521" s="7"/>
      <c r="H2521" s="7"/>
      <c r="I2521" s="7"/>
      <c r="J2521" s="7"/>
      <c r="K2521" s="7"/>
      <c r="M2521" s="6"/>
      <c r="N2521" s="3"/>
      <c r="O2521" s="3"/>
      <c r="P2521" s="3"/>
    </row>
    <row r="2522" spans="4:16" x14ac:dyDescent="0.25">
      <c r="D2522" s="2"/>
      <c r="F2522" s="7"/>
      <c r="G2522" s="7"/>
      <c r="H2522" s="7"/>
      <c r="I2522" s="7"/>
      <c r="J2522" s="7"/>
      <c r="K2522" s="7"/>
      <c r="M2522" s="6"/>
      <c r="N2522" s="3"/>
      <c r="O2522" s="3"/>
      <c r="P2522" s="3"/>
    </row>
    <row r="2523" spans="4:16" x14ac:dyDescent="0.25">
      <c r="D2523" s="2"/>
      <c r="F2523" s="7"/>
      <c r="G2523" s="7"/>
      <c r="H2523" s="7"/>
      <c r="I2523" s="7"/>
      <c r="J2523" s="7"/>
      <c r="K2523" s="7"/>
      <c r="M2523" s="6"/>
      <c r="N2523" s="3"/>
      <c r="O2523" s="3"/>
      <c r="P2523" s="3"/>
    </row>
    <row r="2524" spans="4:16" x14ac:dyDescent="0.25">
      <c r="D2524" s="2"/>
      <c r="F2524" s="7"/>
      <c r="G2524" s="7"/>
      <c r="H2524" s="7"/>
      <c r="I2524" s="7"/>
      <c r="J2524" s="7"/>
      <c r="K2524" s="7"/>
      <c r="M2524" s="6"/>
      <c r="N2524" s="3"/>
      <c r="O2524" s="3"/>
      <c r="P2524" s="3"/>
    </row>
    <row r="2525" spans="4:16" x14ac:dyDescent="0.25">
      <c r="D2525" s="2"/>
      <c r="F2525" s="7"/>
      <c r="G2525" s="7"/>
      <c r="H2525" s="7"/>
      <c r="I2525" s="7"/>
      <c r="J2525" s="7"/>
      <c r="K2525" s="7"/>
      <c r="M2525" s="6"/>
      <c r="N2525" s="3"/>
      <c r="O2525" s="3"/>
      <c r="P2525" s="3"/>
    </row>
    <row r="2526" spans="4:16" x14ac:dyDescent="0.25">
      <c r="D2526" s="2"/>
      <c r="F2526" s="7"/>
      <c r="G2526" s="7"/>
      <c r="H2526" s="7"/>
      <c r="I2526" s="7"/>
      <c r="J2526" s="7"/>
      <c r="K2526" s="7"/>
      <c r="M2526" s="6"/>
      <c r="N2526" s="3"/>
      <c r="O2526" s="3"/>
      <c r="P2526" s="3"/>
    </row>
    <row r="2527" spans="4:16" x14ac:dyDescent="0.25">
      <c r="D2527" s="2"/>
      <c r="F2527" s="7"/>
      <c r="G2527" s="7"/>
      <c r="H2527" s="7"/>
      <c r="I2527" s="7"/>
      <c r="J2527" s="7"/>
      <c r="K2527" s="7"/>
      <c r="M2527" s="6"/>
      <c r="N2527" s="3"/>
      <c r="O2527" s="3"/>
      <c r="P2527" s="3"/>
    </row>
    <row r="2528" spans="4:16" x14ac:dyDescent="0.25">
      <c r="D2528" s="2"/>
      <c r="F2528" s="7"/>
      <c r="G2528" s="7"/>
      <c r="H2528" s="7"/>
      <c r="I2528" s="7"/>
      <c r="J2528" s="7"/>
      <c r="K2528" s="7"/>
      <c r="M2528" s="6"/>
      <c r="N2528" s="3"/>
      <c r="O2528" s="3"/>
      <c r="P2528" s="3"/>
    </row>
    <row r="2529" spans="4:16" x14ac:dyDescent="0.25">
      <c r="D2529" s="2"/>
      <c r="F2529" s="7"/>
      <c r="G2529" s="7"/>
      <c r="H2529" s="7"/>
      <c r="I2529" s="7"/>
      <c r="J2529" s="7"/>
      <c r="K2529" s="7"/>
      <c r="M2529" s="6"/>
      <c r="N2529" s="3"/>
      <c r="O2529" s="3"/>
      <c r="P2529" s="3"/>
    </row>
    <row r="2530" spans="4:16" x14ac:dyDescent="0.25">
      <c r="D2530" s="2"/>
      <c r="F2530" s="7"/>
      <c r="G2530" s="7"/>
      <c r="H2530" s="7"/>
      <c r="I2530" s="7"/>
      <c r="J2530" s="7"/>
      <c r="K2530" s="7"/>
      <c r="M2530" s="6"/>
      <c r="N2530" s="3"/>
      <c r="O2530" s="3"/>
      <c r="P2530" s="3"/>
    </row>
    <row r="2531" spans="4:16" x14ac:dyDescent="0.25">
      <c r="D2531" s="2"/>
      <c r="F2531" s="7"/>
      <c r="G2531" s="7"/>
      <c r="H2531" s="7"/>
      <c r="I2531" s="7"/>
      <c r="J2531" s="7"/>
      <c r="K2531" s="7"/>
      <c r="M2531" s="6"/>
      <c r="N2531" s="3"/>
      <c r="O2531" s="3"/>
      <c r="P2531" s="3"/>
    </row>
    <row r="2532" spans="4:16" x14ac:dyDescent="0.25">
      <c r="D2532" s="2"/>
      <c r="F2532" s="7"/>
      <c r="G2532" s="7"/>
      <c r="H2532" s="7"/>
      <c r="I2532" s="7"/>
      <c r="J2532" s="7"/>
      <c r="K2532" s="7"/>
      <c r="M2532" s="6"/>
      <c r="N2532" s="3"/>
      <c r="O2532" s="3"/>
      <c r="P2532" s="3"/>
    </row>
    <row r="2533" spans="4:16" x14ac:dyDescent="0.25">
      <c r="D2533" s="2"/>
      <c r="F2533" s="7"/>
      <c r="G2533" s="7"/>
      <c r="H2533" s="7"/>
      <c r="I2533" s="7"/>
      <c r="J2533" s="7"/>
      <c r="K2533" s="7"/>
      <c r="M2533" s="6"/>
      <c r="N2533" s="3"/>
      <c r="O2533" s="3"/>
      <c r="P2533" s="3"/>
    </row>
    <row r="2534" spans="4:16" x14ac:dyDescent="0.25">
      <c r="D2534" s="2"/>
      <c r="F2534" s="7"/>
      <c r="G2534" s="7"/>
      <c r="H2534" s="7"/>
      <c r="I2534" s="7"/>
      <c r="J2534" s="7"/>
      <c r="K2534" s="7"/>
      <c r="M2534" s="6"/>
      <c r="N2534" s="3"/>
      <c r="O2534" s="3"/>
      <c r="P2534" s="3"/>
    </row>
    <row r="2535" spans="4:16" x14ac:dyDescent="0.25">
      <c r="D2535" s="2"/>
      <c r="F2535" s="7"/>
      <c r="G2535" s="7"/>
      <c r="H2535" s="7"/>
      <c r="I2535" s="7"/>
      <c r="J2535" s="7"/>
      <c r="K2535" s="7"/>
      <c r="M2535" s="6"/>
      <c r="N2535" s="3"/>
      <c r="O2535" s="3"/>
      <c r="P2535" s="3"/>
    </row>
    <row r="2536" spans="4:16" x14ac:dyDescent="0.25">
      <c r="D2536" s="2"/>
      <c r="F2536" s="7"/>
      <c r="G2536" s="7"/>
      <c r="H2536" s="7"/>
      <c r="I2536" s="7"/>
      <c r="J2536" s="7"/>
      <c r="K2536" s="7"/>
      <c r="M2536" s="6"/>
      <c r="N2536" s="3"/>
      <c r="O2536" s="3"/>
      <c r="P2536" s="3"/>
    </row>
    <row r="2537" spans="4:16" x14ac:dyDescent="0.25">
      <c r="D2537" s="2"/>
      <c r="F2537" s="7"/>
      <c r="G2537" s="7"/>
      <c r="H2537" s="7"/>
      <c r="I2537" s="7"/>
      <c r="J2537" s="7"/>
      <c r="K2537" s="7"/>
      <c r="M2537" s="6"/>
      <c r="N2537" s="3"/>
      <c r="O2537" s="3"/>
      <c r="P2537" s="3"/>
    </row>
    <row r="2538" spans="4:16" x14ac:dyDescent="0.25">
      <c r="D2538" s="2"/>
      <c r="F2538" s="7"/>
      <c r="G2538" s="7"/>
      <c r="H2538" s="7"/>
      <c r="I2538" s="7"/>
      <c r="J2538" s="7"/>
      <c r="K2538" s="7"/>
      <c r="M2538" s="6"/>
      <c r="N2538" s="3"/>
      <c r="O2538" s="3"/>
      <c r="P2538" s="3"/>
    </row>
    <row r="2539" spans="4:16" x14ac:dyDescent="0.25">
      <c r="D2539" s="2"/>
      <c r="F2539" s="7"/>
      <c r="G2539" s="7"/>
      <c r="H2539" s="7"/>
      <c r="I2539" s="7"/>
      <c r="J2539" s="7"/>
      <c r="K2539" s="7"/>
      <c r="M2539" s="6"/>
      <c r="N2539" s="3"/>
      <c r="O2539" s="3"/>
      <c r="P2539" s="3"/>
    </row>
    <row r="2540" spans="4:16" x14ac:dyDescent="0.25">
      <c r="D2540" s="2"/>
      <c r="F2540" s="7"/>
      <c r="G2540" s="7"/>
      <c r="H2540" s="7"/>
      <c r="I2540" s="7"/>
      <c r="J2540" s="7"/>
      <c r="K2540" s="7"/>
      <c r="M2540" s="6"/>
      <c r="N2540" s="3"/>
      <c r="O2540" s="3"/>
      <c r="P2540" s="3"/>
    </row>
    <row r="2541" spans="4:16" x14ac:dyDescent="0.25">
      <c r="D2541" s="2"/>
      <c r="F2541" s="7"/>
      <c r="G2541" s="7"/>
      <c r="H2541" s="7"/>
      <c r="I2541" s="7"/>
      <c r="J2541" s="7"/>
      <c r="K2541" s="7"/>
      <c r="M2541" s="6"/>
      <c r="N2541" s="3"/>
      <c r="O2541" s="3"/>
      <c r="P2541" s="3"/>
    </row>
    <row r="2542" spans="4:16" x14ac:dyDescent="0.25">
      <c r="D2542" s="2"/>
      <c r="F2542" s="7"/>
      <c r="G2542" s="7"/>
      <c r="H2542" s="7"/>
      <c r="I2542" s="7"/>
      <c r="J2542" s="7"/>
      <c r="K2542" s="7"/>
      <c r="M2542" s="6"/>
      <c r="N2542" s="3"/>
      <c r="O2542" s="3"/>
      <c r="P2542" s="3"/>
    </row>
    <row r="2543" spans="4:16" x14ac:dyDescent="0.25">
      <c r="D2543" s="2"/>
      <c r="F2543" s="7"/>
      <c r="G2543" s="7"/>
      <c r="H2543" s="7"/>
      <c r="I2543" s="7"/>
      <c r="J2543" s="7"/>
      <c r="K2543" s="7"/>
      <c r="M2543" s="6"/>
      <c r="N2543" s="3"/>
      <c r="O2543" s="3"/>
      <c r="P2543" s="3"/>
    </row>
    <row r="2544" spans="4:16" x14ac:dyDescent="0.25">
      <c r="D2544" s="2"/>
      <c r="F2544" s="7"/>
      <c r="G2544" s="7"/>
      <c r="H2544" s="7"/>
      <c r="I2544" s="7"/>
      <c r="J2544" s="7"/>
      <c r="K2544" s="7"/>
      <c r="M2544" s="6"/>
      <c r="N2544" s="3"/>
      <c r="O2544" s="3"/>
      <c r="P2544" s="3"/>
    </row>
    <row r="2545" spans="4:16" x14ac:dyDescent="0.25">
      <c r="D2545" s="2"/>
      <c r="F2545" s="7"/>
      <c r="G2545" s="7"/>
      <c r="H2545" s="7"/>
      <c r="I2545" s="7"/>
      <c r="J2545" s="7"/>
      <c r="K2545" s="7"/>
      <c r="M2545" s="6"/>
      <c r="N2545" s="3"/>
      <c r="O2545" s="3"/>
      <c r="P2545" s="3"/>
    </row>
    <row r="2546" spans="4:16" x14ac:dyDescent="0.25">
      <c r="D2546" s="2"/>
      <c r="F2546" s="7"/>
      <c r="G2546" s="7"/>
      <c r="H2546" s="7"/>
      <c r="I2546" s="7"/>
      <c r="J2546" s="7"/>
      <c r="K2546" s="7"/>
      <c r="M2546" s="6"/>
      <c r="N2546" s="3"/>
      <c r="O2546" s="3"/>
      <c r="P2546" s="3"/>
    </row>
    <row r="2547" spans="4:16" x14ac:dyDescent="0.25">
      <c r="D2547" s="2"/>
      <c r="F2547" s="7"/>
      <c r="G2547" s="7"/>
      <c r="H2547" s="7"/>
      <c r="I2547" s="7"/>
      <c r="J2547" s="7"/>
      <c r="K2547" s="7"/>
      <c r="M2547" s="6"/>
      <c r="N2547" s="3"/>
      <c r="O2547" s="3"/>
      <c r="P2547" s="3"/>
    </row>
    <row r="2548" spans="4:16" x14ac:dyDescent="0.25">
      <c r="D2548" s="2"/>
      <c r="F2548" s="7"/>
      <c r="G2548" s="7"/>
      <c r="H2548" s="7"/>
      <c r="I2548" s="7"/>
      <c r="J2548" s="7"/>
      <c r="K2548" s="7"/>
      <c r="M2548" s="6"/>
      <c r="N2548" s="3"/>
      <c r="O2548" s="3"/>
      <c r="P2548" s="3"/>
    </row>
    <row r="2549" spans="4:16" x14ac:dyDescent="0.25">
      <c r="D2549" s="2"/>
      <c r="F2549" s="7"/>
      <c r="G2549" s="7"/>
      <c r="H2549" s="7"/>
      <c r="I2549" s="7"/>
      <c r="J2549" s="7"/>
      <c r="K2549" s="7"/>
      <c r="M2549" s="6"/>
      <c r="N2549" s="3"/>
      <c r="O2549" s="3"/>
      <c r="P2549" s="3"/>
    </row>
    <row r="2550" spans="4:16" x14ac:dyDescent="0.25">
      <c r="D2550" s="2"/>
      <c r="F2550" s="7"/>
      <c r="G2550" s="7"/>
      <c r="H2550" s="7"/>
      <c r="I2550" s="7"/>
      <c r="J2550" s="7"/>
      <c r="K2550" s="7"/>
      <c r="M2550" s="6"/>
      <c r="N2550" s="3"/>
      <c r="O2550" s="3"/>
      <c r="P2550" s="3"/>
    </row>
    <row r="2551" spans="4:16" x14ac:dyDescent="0.25">
      <c r="D2551" s="2"/>
      <c r="F2551" s="7"/>
      <c r="G2551" s="7"/>
      <c r="H2551" s="7"/>
      <c r="I2551" s="7"/>
      <c r="J2551" s="7"/>
      <c r="K2551" s="7"/>
      <c r="M2551" s="6"/>
      <c r="N2551" s="3"/>
      <c r="O2551" s="3"/>
      <c r="P2551" s="3"/>
    </row>
    <row r="2552" spans="4:16" x14ac:dyDescent="0.25">
      <c r="D2552" s="2"/>
      <c r="F2552" s="7"/>
      <c r="G2552" s="7"/>
      <c r="H2552" s="7"/>
      <c r="I2552" s="7"/>
      <c r="J2552" s="7"/>
      <c r="K2552" s="7"/>
      <c r="M2552" s="6"/>
      <c r="N2552" s="3"/>
      <c r="O2552" s="3"/>
      <c r="P2552" s="3"/>
    </row>
    <row r="2553" spans="4:16" x14ac:dyDescent="0.25">
      <c r="D2553" s="2"/>
      <c r="F2553" s="7"/>
      <c r="G2553" s="7"/>
      <c r="H2553" s="7"/>
      <c r="I2553" s="7"/>
      <c r="J2553" s="7"/>
      <c r="K2553" s="7"/>
      <c r="M2553" s="6"/>
      <c r="N2553" s="3"/>
      <c r="O2553" s="3"/>
      <c r="P2553" s="3"/>
    </row>
    <row r="2554" spans="4:16" x14ac:dyDescent="0.25">
      <c r="D2554" s="2"/>
      <c r="F2554" s="7"/>
      <c r="G2554" s="7"/>
      <c r="H2554" s="7"/>
      <c r="I2554" s="7"/>
      <c r="J2554" s="7"/>
      <c r="K2554" s="7"/>
      <c r="M2554" s="6"/>
      <c r="N2554" s="3"/>
      <c r="O2554" s="3"/>
      <c r="P2554" s="3"/>
    </row>
    <row r="2555" spans="4:16" x14ac:dyDescent="0.25">
      <c r="D2555" s="2"/>
      <c r="F2555" s="7"/>
      <c r="G2555" s="7"/>
      <c r="H2555" s="7"/>
      <c r="I2555" s="7"/>
      <c r="J2555" s="7"/>
      <c r="K2555" s="7"/>
      <c r="M2555" s="6"/>
      <c r="N2555" s="3"/>
      <c r="O2555" s="3"/>
      <c r="P2555" s="3"/>
    </row>
    <row r="2556" spans="4:16" x14ac:dyDescent="0.25">
      <c r="D2556" s="2"/>
      <c r="F2556" s="7"/>
      <c r="G2556" s="7"/>
      <c r="H2556" s="7"/>
      <c r="I2556" s="7"/>
      <c r="J2556" s="7"/>
      <c r="K2556" s="7"/>
      <c r="M2556" s="6"/>
      <c r="N2556" s="3"/>
      <c r="O2556" s="3"/>
      <c r="P2556" s="3"/>
    </row>
    <row r="2557" spans="4:16" x14ac:dyDescent="0.25">
      <c r="D2557" s="2"/>
      <c r="F2557" s="7"/>
      <c r="G2557" s="7"/>
      <c r="H2557" s="7"/>
      <c r="I2557" s="7"/>
      <c r="J2557" s="7"/>
      <c r="K2557" s="7"/>
      <c r="M2557" s="6"/>
      <c r="N2557" s="3"/>
      <c r="O2557" s="3"/>
      <c r="P2557" s="3"/>
    </row>
    <row r="2558" spans="4:16" x14ac:dyDescent="0.25">
      <c r="D2558" s="2"/>
      <c r="F2558" s="7"/>
      <c r="G2558" s="7"/>
      <c r="H2558" s="7"/>
      <c r="I2558" s="7"/>
      <c r="J2558" s="7"/>
      <c r="K2558" s="7"/>
      <c r="M2558" s="6"/>
      <c r="N2558" s="3"/>
      <c r="O2558" s="3"/>
      <c r="P2558" s="3"/>
    </row>
    <row r="2559" spans="4:16" x14ac:dyDescent="0.25">
      <c r="D2559" s="2"/>
      <c r="F2559" s="7"/>
      <c r="G2559" s="7"/>
      <c r="H2559" s="7"/>
      <c r="I2559" s="7"/>
      <c r="J2559" s="7"/>
      <c r="K2559" s="7"/>
      <c r="M2559" s="6"/>
      <c r="N2559" s="3"/>
      <c r="O2559" s="3"/>
      <c r="P2559" s="3"/>
    </row>
    <row r="2560" spans="4:16" x14ac:dyDescent="0.25">
      <c r="D2560" s="2"/>
      <c r="F2560" s="7"/>
      <c r="G2560" s="7"/>
      <c r="H2560" s="7"/>
      <c r="I2560" s="7"/>
      <c r="J2560" s="7"/>
      <c r="K2560" s="7"/>
      <c r="M2560" s="6"/>
      <c r="N2560" s="3"/>
      <c r="O2560" s="3"/>
      <c r="P2560" s="3"/>
    </row>
    <row r="2561" spans="4:16" x14ac:dyDescent="0.25">
      <c r="D2561" s="2"/>
      <c r="F2561" s="7"/>
      <c r="G2561" s="7"/>
      <c r="H2561" s="7"/>
      <c r="I2561" s="7"/>
      <c r="J2561" s="7"/>
      <c r="K2561" s="7"/>
      <c r="M2561" s="6"/>
      <c r="N2561" s="3"/>
      <c r="O2561" s="3"/>
      <c r="P2561" s="3"/>
    </row>
    <row r="2562" spans="4:16" x14ac:dyDescent="0.25">
      <c r="D2562" s="2"/>
      <c r="F2562" s="7"/>
      <c r="G2562" s="7"/>
      <c r="H2562" s="7"/>
      <c r="I2562" s="7"/>
      <c r="J2562" s="7"/>
      <c r="K2562" s="7"/>
      <c r="M2562" s="6"/>
      <c r="N2562" s="3"/>
      <c r="O2562" s="3"/>
      <c r="P2562" s="3"/>
    </row>
    <row r="2563" spans="4:16" x14ac:dyDescent="0.25">
      <c r="D2563" s="2"/>
      <c r="F2563" s="7"/>
      <c r="G2563" s="7"/>
      <c r="H2563" s="7"/>
      <c r="I2563" s="7"/>
      <c r="J2563" s="7"/>
      <c r="K2563" s="7"/>
      <c r="M2563" s="6"/>
      <c r="N2563" s="3"/>
      <c r="O2563" s="3"/>
      <c r="P2563" s="3"/>
    </row>
    <row r="2564" spans="4:16" x14ac:dyDescent="0.25">
      <c r="D2564" s="2"/>
      <c r="F2564" s="7"/>
      <c r="G2564" s="7"/>
      <c r="H2564" s="7"/>
      <c r="I2564" s="7"/>
      <c r="J2564" s="7"/>
      <c r="K2564" s="7"/>
      <c r="M2564" s="6"/>
      <c r="N2564" s="3"/>
      <c r="O2564" s="3"/>
      <c r="P2564" s="3"/>
    </row>
    <row r="2565" spans="4:16" x14ac:dyDescent="0.25">
      <c r="D2565" s="2"/>
      <c r="F2565" s="7"/>
      <c r="G2565" s="7"/>
      <c r="H2565" s="7"/>
      <c r="I2565" s="7"/>
      <c r="J2565" s="7"/>
      <c r="K2565" s="7"/>
      <c r="M2565" s="6"/>
      <c r="N2565" s="3"/>
      <c r="O2565" s="3"/>
      <c r="P2565" s="3"/>
    </row>
    <row r="2566" spans="4:16" x14ac:dyDescent="0.25">
      <c r="D2566" s="2"/>
      <c r="F2566" s="7"/>
      <c r="G2566" s="7"/>
      <c r="H2566" s="7"/>
      <c r="I2566" s="7"/>
      <c r="J2566" s="7"/>
      <c r="K2566" s="7"/>
      <c r="M2566" s="6"/>
      <c r="N2566" s="3"/>
      <c r="O2566" s="3"/>
      <c r="P2566" s="3"/>
    </row>
    <row r="2567" spans="4:16" x14ac:dyDescent="0.25">
      <c r="D2567" s="2"/>
      <c r="F2567" s="7"/>
      <c r="G2567" s="7"/>
      <c r="H2567" s="7"/>
      <c r="I2567" s="7"/>
      <c r="J2567" s="7"/>
      <c r="K2567" s="7"/>
      <c r="M2567" s="6"/>
      <c r="N2567" s="3"/>
      <c r="O2567" s="3"/>
      <c r="P2567" s="3"/>
    </row>
    <row r="2568" spans="4:16" x14ac:dyDescent="0.25">
      <c r="D2568" s="2"/>
      <c r="F2568" s="7"/>
      <c r="G2568" s="7"/>
      <c r="H2568" s="7"/>
      <c r="I2568" s="7"/>
      <c r="J2568" s="7"/>
      <c r="K2568" s="7"/>
      <c r="M2568" s="6"/>
      <c r="N2568" s="3"/>
      <c r="O2568" s="3"/>
      <c r="P2568" s="3"/>
    </row>
    <row r="2569" spans="4:16" x14ac:dyDescent="0.25">
      <c r="D2569" s="2"/>
      <c r="F2569" s="7"/>
      <c r="G2569" s="7"/>
      <c r="H2569" s="7"/>
      <c r="I2569" s="7"/>
      <c r="J2569" s="7"/>
      <c r="K2569" s="7"/>
      <c r="M2569" s="6"/>
      <c r="N2569" s="3"/>
      <c r="O2569" s="3"/>
      <c r="P2569" s="3"/>
    </row>
    <row r="2570" spans="4:16" x14ac:dyDescent="0.25">
      <c r="D2570" s="2"/>
      <c r="F2570" s="7"/>
      <c r="G2570" s="7"/>
      <c r="H2570" s="7"/>
      <c r="I2570" s="7"/>
      <c r="J2570" s="7"/>
      <c r="K2570" s="7"/>
      <c r="M2570" s="6"/>
      <c r="N2570" s="3"/>
      <c r="O2570" s="3"/>
      <c r="P2570" s="3"/>
    </row>
    <row r="2571" spans="4:16" x14ac:dyDescent="0.25">
      <c r="D2571" s="2"/>
      <c r="F2571" s="7"/>
      <c r="G2571" s="7"/>
      <c r="H2571" s="7"/>
      <c r="I2571" s="7"/>
      <c r="J2571" s="7"/>
      <c r="K2571" s="7"/>
      <c r="M2571" s="6"/>
      <c r="N2571" s="3"/>
      <c r="O2571" s="3"/>
      <c r="P2571" s="3"/>
    </row>
    <row r="2572" spans="4:16" x14ac:dyDescent="0.25">
      <c r="D2572" s="2"/>
      <c r="F2572" s="7"/>
      <c r="G2572" s="7"/>
      <c r="H2572" s="7"/>
      <c r="I2572" s="7"/>
      <c r="J2572" s="7"/>
      <c r="K2572" s="7"/>
      <c r="M2572" s="6"/>
      <c r="N2572" s="3"/>
      <c r="O2572" s="3"/>
      <c r="P2572" s="3"/>
    </row>
    <row r="2573" spans="4:16" x14ac:dyDescent="0.25">
      <c r="D2573" s="2"/>
      <c r="F2573" s="7"/>
      <c r="G2573" s="7"/>
      <c r="H2573" s="7"/>
      <c r="I2573" s="7"/>
      <c r="J2573" s="7"/>
      <c r="K2573" s="7"/>
      <c r="M2573" s="6"/>
      <c r="N2573" s="3"/>
      <c r="O2573" s="3"/>
      <c r="P2573" s="3"/>
    </row>
    <row r="2574" spans="4:16" x14ac:dyDescent="0.25">
      <c r="D2574" s="2"/>
      <c r="F2574" s="7"/>
      <c r="G2574" s="7"/>
      <c r="H2574" s="7"/>
      <c r="I2574" s="7"/>
      <c r="J2574" s="7"/>
      <c r="K2574" s="7"/>
      <c r="M2574" s="6"/>
      <c r="N2574" s="3"/>
      <c r="O2574" s="3"/>
      <c r="P2574" s="3"/>
    </row>
    <row r="2575" spans="4:16" x14ac:dyDescent="0.25">
      <c r="D2575" s="2"/>
      <c r="F2575" s="7"/>
      <c r="G2575" s="7"/>
      <c r="H2575" s="7"/>
      <c r="I2575" s="7"/>
      <c r="J2575" s="7"/>
      <c r="K2575" s="7"/>
      <c r="M2575" s="6"/>
      <c r="N2575" s="3"/>
      <c r="O2575" s="3"/>
      <c r="P2575" s="3"/>
    </row>
    <row r="2576" spans="4:16" x14ac:dyDescent="0.25">
      <c r="D2576" s="2"/>
      <c r="F2576" s="7"/>
      <c r="G2576" s="7"/>
      <c r="H2576" s="7"/>
      <c r="I2576" s="7"/>
      <c r="J2576" s="7"/>
      <c r="K2576" s="7"/>
      <c r="M2576" s="6"/>
      <c r="N2576" s="3"/>
      <c r="O2576" s="3"/>
      <c r="P2576" s="3"/>
    </row>
    <row r="2577" spans="4:16" x14ac:dyDescent="0.25">
      <c r="D2577" s="2"/>
      <c r="F2577" s="7"/>
      <c r="G2577" s="7"/>
      <c r="H2577" s="7"/>
      <c r="I2577" s="7"/>
      <c r="J2577" s="7"/>
      <c r="K2577" s="7"/>
      <c r="M2577" s="6"/>
      <c r="N2577" s="3"/>
      <c r="O2577" s="3"/>
      <c r="P2577" s="3"/>
    </row>
    <row r="2578" spans="4:16" x14ac:dyDescent="0.25">
      <c r="D2578" s="2"/>
      <c r="F2578" s="7"/>
      <c r="G2578" s="7"/>
      <c r="H2578" s="7"/>
      <c r="I2578" s="7"/>
      <c r="J2578" s="7"/>
      <c r="K2578" s="7"/>
      <c r="M2578" s="6"/>
      <c r="N2578" s="3"/>
      <c r="O2578" s="3"/>
      <c r="P2578" s="3"/>
    </row>
    <row r="2579" spans="4:16" x14ac:dyDescent="0.25">
      <c r="D2579" s="2"/>
      <c r="F2579" s="7"/>
      <c r="G2579" s="7"/>
      <c r="H2579" s="7"/>
      <c r="I2579" s="7"/>
      <c r="J2579" s="7"/>
      <c r="K2579" s="7"/>
      <c r="M2579" s="6"/>
      <c r="N2579" s="3"/>
      <c r="O2579" s="3"/>
      <c r="P2579" s="3"/>
    </row>
    <row r="2580" spans="4:16" x14ac:dyDescent="0.25">
      <c r="D2580" s="2"/>
      <c r="F2580" s="7"/>
      <c r="G2580" s="7"/>
      <c r="H2580" s="7"/>
      <c r="I2580" s="7"/>
      <c r="J2580" s="7"/>
      <c r="K2580" s="7"/>
      <c r="M2580" s="6"/>
      <c r="N2580" s="3"/>
      <c r="O2580" s="3"/>
      <c r="P2580" s="3"/>
    </row>
    <row r="2581" spans="4:16" x14ac:dyDescent="0.25">
      <c r="D2581" s="2"/>
      <c r="F2581" s="7"/>
      <c r="G2581" s="7"/>
      <c r="H2581" s="7"/>
      <c r="I2581" s="7"/>
      <c r="J2581" s="7"/>
      <c r="K2581" s="7"/>
      <c r="M2581" s="6"/>
      <c r="N2581" s="3"/>
      <c r="O2581" s="3"/>
      <c r="P2581" s="3"/>
    </row>
    <row r="2582" spans="4:16" x14ac:dyDescent="0.25">
      <c r="D2582" s="2"/>
      <c r="F2582" s="7"/>
      <c r="G2582" s="7"/>
      <c r="H2582" s="7"/>
      <c r="I2582" s="7"/>
      <c r="J2582" s="7"/>
      <c r="K2582" s="7"/>
      <c r="M2582" s="6"/>
      <c r="N2582" s="3"/>
      <c r="O2582" s="3"/>
      <c r="P2582" s="3"/>
    </row>
    <row r="2583" spans="4:16" x14ac:dyDescent="0.25">
      <c r="D2583" s="2"/>
      <c r="F2583" s="7"/>
      <c r="G2583" s="7"/>
      <c r="H2583" s="7"/>
      <c r="I2583" s="7"/>
      <c r="J2583" s="7"/>
      <c r="K2583" s="7"/>
      <c r="M2583" s="6"/>
      <c r="N2583" s="3"/>
      <c r="O2583" s="3"/>
      <c r="P2583" s="3"/>
    </row>
    <row r="2584" spans="4:16" x14ac:dyDescent="0.25">
      <c r="D2584" s="2"/>
      <c r="F2584" s="7"/>
      <c r="G2584" s="7"/>
      <c r="H2584" s="7"/>
      <c r="I2584" s="7"/>
      <c r="J2584" s="7"/>
      <c r="K2584" s="7"/>
      <c r="M2584" s="6"/>
      <c r="N2584" s="3"/>
      <c r="O2584" s="3"/>
      <c r="P2584" s="3"/>
    </row>
    <row r="2585" spans="4:16" x14ac:dyDescent="0.25">
      <c r="D2585" s="2"/>
      <c r="F2585" s="7"/>
      <c r="G2585" s="7"/>
      <c r="H2585" s="7"/>
      <c r="I2585" s="7"/>
      <c r="J2585" s="7"/>
      <c r="K2585" s="7"/>
      <c r="M2585" s="6"/>
      <c r="N2585" s="3"/>
      <c r="O2585" s="3"/>
      <c r="P2585" s="3"/>
    </row>
    <row r="2586" spans="4:16" x14ac:dyDescent="0.25">
      <c r="D2586" s="2"/>
      <c r="F2586" s="7"/>
      <c r="G2586" s="7"/>
      <c r="H2586" s="7"/>
      <c r="I2586" s="7"/>
      <c r="J2586" s="7"/>
      <c r="K2586" s="7"/>
      <c r="M2586" s="6"/>
      <c r="N2586" s="3"/>
      <c r="O2586" s="3"/>
      <c r="P2586" s="3"/>
    </row>
    <row r="2587" spans="4:16" x14ac:dyDescent="0.25">
      <c r="D2587" s="2"/>
      <c r="F2587" s="7"/>
      <c r="G2587" s="7"/>
      <c r="H2587" s="7"/>
      <c r="I2587" s="7"/>
      <c r="J2587" s="7"/>
      <c r="K2587" s="7"/>
      <c r="M2587" s="6"/>
      <c r="N2587" s="3"/>
      <c r="O2587" s="3"/>
      <c r="P2587" s="3"/>
    </row>
    <row r="2588" spans="4:16" x14ac:dyDescent="0.25">
      <c r="D2588" s="2"/>
      <c r="F2588" s="7"/>
      <c r="G2588" s="7"/>
      <c r="H2588" s="7"/>
      <c r="I2588" s="7"/>
      <c r="J2588" s="7"/>
      <c r="K2588" s="7"/>
      <c r="M2588" s="6"/>
      <c r="N2588" s="3"/>
      <c r="O2588" s="3"/>
      <c r="P2588" s="3"/>
    </row>
    <row r="2589" spans="4:16" x14ac:dyDescent="0.25">
      <c r="D2589" s="2"/>
      <c r="F2589" s="7"/>
      <c r="G2589" s="7"/>
      <c r="H2589" s="7"/>
      <c r="I2589" s="7"/>
      <c r="J2589" s="7"/>
      <c r="K2589" s="7"/>
      <c r="M2589" s="6"/>
      <c r="N2589" s="3"/>
      <c r="O2589" s="3"/>
      <c r="P2589" s="3"/>
    </row>
    <row r="2590" spans="4:16" x14ac:dyDescent="0.25">
      <c r="D2590" s="2"/>
      <c r="F2590" s="7"/>
      <c r="G2590" s="7"/>
      <c r="H2590" s="7"/>
      <c r="I2590" s="7"/>
      <c r="J2590" s="7"/>
      <c r="K2590" s="7"/>
      <c r="M2590" s="6"/>
      <c r="N2590" s="3"/>
      <c r="O2590" s="3"/>
      <c r="P2590" s="3"/>
    </row>
    <row r="2591" spans="4:16" x14ac:dyDescent="0.25">
      <c r="D2591" s="2"/>
      <c r="F2591" s="7"/>
      <c r="G2591" s="7"/>
      <c r="H2591" s="7"/>
      <c r="I2591" s="7"/>
      <c r="J2591" s="7"/>
      <c r="K2591" s="7"/>
      <c r="M2591" s="6"/>
      <c r="N2591" s="3"/>
      <c r="O2591" s="3"/>
      <c r="P2591" s="3"/>
    </row>
    <row r="2592" spans="4:16" x14ac:dyDescent="0.25">
      <c r="D2592" s="2"/>
      <c r="F2592" s="7"/>
      <c r="G2592" s="7"/>
      <c r="H2592" s="7"/>
      <c r="I2592" s="7"/>
      <c r="J2592" s="7"/>
      <c r="K2592" s="7"/>
      <c r="M2592" s="6"/>
      <c r="N2592" s="3"/>
      <c r="O2592" s="3"/>
      <c r="P2592" s="3"/>
    </row>
    <row r="2593" spans="4:16" x14ac:dyDescent="0.25">
      <c r="D2593" s="2"/>
      <c r="F2593" s="7"/>
      <c r="G2593" s="7"/>
      <c r="H2593" s="7"/>
      <c r="I2593" s="7"/>
      <c r="J2593" s="7"/>
      <c r="K2593" s="7"/>
      <c r="M2593" s="6"/>
      <c r="N2593" s="3"/>
      <c r="O2593" s="3"/>
      <c r="P2593" s="3"/>
    </row>
    <row r="2594" spans="4:16" x14ac:dyDescent="0.25">
      <c r="D2594" s="2"/>
      <c r="F2594" s="7"/>
      <c r="G2594" s="7"/>
      <c r="H2594" s="7"/>
      <c r="I2594" s="7"/>
      <c r="J2594" s="7"/>
      <c r="K2594" s="7"/>
      <c r="M2594" s="6"/>
      <c r="N2594" s="3"/>
      <c r="O2594" s="3"/>
      <c r="P2594" s="3"/>
    </row>
    <row r="2595" spans="4:16" x14ac:dyDescent="0.25">
      <c r="D2595" s="2"/>
      <c r="F2595" s="7"/>
      <c r="G2595" s="7"/>
      <c r="H2595" s="7"/>
      <c r="I2595" s="7"/>
      <c r="J2595" s="7"/>
      <c r="K2595" s="7"/>
      <c r="M2595" s="6"/>
      <c r="N2595" s="3"/>
      <c r="O2595" s="3"/>
      <c r="P2595" s="3"/>
    </row>
    <row r="2596" spans="4:16" x14ac:dyDescent="0.25">
      <c r="D2596" s="2"/>
      <c r="F2596" s="7"/>
      <c r="G2596" s="7"/>
      <c r="H2596" s="7"/>
      <c r="I2596" s="7"/>
      <c r="J2596" s="7"/>
      <c r="K2596" s="7"/>
      <c r="M2596" s="6"/>
      <c r="N2596" s="3"/>
      <c r="O2596" s="3"/>
      <c r="P2596" s="3"/>
    </row>
    <row r="2597" spans="4:16" x14ac:dyDescent="0.25">
      <c r="D2597" s="2"/>
      <c r="F2597" s="7"/>
      <c r="G2597" s="7"/>
      <c r="H2597" s="7"/>
      <c r="I2597" s="7"/>
      <c r="J2597" s="7"/>
      <c r="K2597" s="7"/>
      <c r="M2597" s="6"/>
      <c r="N2597" s="3"/>
      <c r="O2597" s="3"/>
      <c r="P2597" s="3"/>
    </row>
    <row r="2598" spans="4:16" x14ac:dyDescent="0.25">
      <c r="D2598" s="2"/>
      <c r="F2598" s="7"/>
      <c r="G2598" s="7"/>
      <c r="H2598" s="7"/>
      <c r="I2598" s="7"/>
      <c r="J2598" s="7"/>
      <c r="K2598" s="7"/>
      <c r="M2598" s="6"/>
      <c r="N2598" s="3"/>
      <c r="O2598" s="3"/>
      <c r="P2598" s="3"/>
    </row>
    <row r="2599" spans="4:16" x14ac:dyDescent="0.25">
      <c r="D2599" s="2"/>
      <c r="F2599" s="7"/>
      <c r="G2599" s="7"/>
      <c r="H2599" s="7"/>
      <c r="I2599" s="7"/>
      <c r="J2599" s="7"/>
      <c r="K2599" s="7"/>
      <c r="M2599" s="6"/>
      <c r="N2599" s="3"/>
      <c r="O2599" s="3"/>
      <c r="P2599" s="3"/>
    </row>
    <row r="2600" spans="4:16" x14ac:dyDescent="0.25">
      <c r="D2600" s="2"/>
      <c r="F2600" s="7"/>
      <c r="G2600" s="7"/>
      <c r="H2600" s="7"/>
      <c r="I2600" s="7"/>
      <c r="J2600" s="7"/>
      <c r="K2600" s="7"/>
      <c r="M2600" s="6"/>
      <c r="N2600" s="3"/>
      <c r="O2600" s="3"/>
      <c r="P2600" s="3"/>
    </row>
    <row r="2601" spans="4:16" x14ac:dyDescent="0.25">
      <c r="D2601" s="2"/>
      <c r="F2601" s="7"/>
      <c r="G2601" s="7"/>
      <c r="H2601" s="7"/>
      <c r="I2601" s="7"/>
      <c r="J2601" s="7"/>
      <c r="K2601" s="7"/>
      <c r="M2601" s="6"/>
      <c r="N2601" s="3"/>
      <c r="O2601" s="3"/>
      <c r="P2601" s="3"/>
    </row>
    <row r="2602" spans="4:16" x14ac:dyDescent="0.25">
      <c r="D2602" s="2"/>
      <c r="F2602" s="7"/>
      <c r="G2602" s="7"/>
      <c r="H2602" s="7"/>
      <c r="I2602" s="7"/>
      <c r="J2602" s="7"/>
      <c r="K2602" s="7"/>
      <c r="M2602" s="6"/>
      <c r="N2602" s="3"/>
      <c r="O2602" s="3"/>
      <c r="P2602" s="3"/>
    </row>
    <row r="2603" spans="4:16" x14ac:dyDescent="0.25">
      <c r="D2603" s="2"/>
      <c r="F2603" s="7"/>
      <c r="G2603" s="7"/>
      <c r="H2603" s="7"/>
      <c r="I2603" s="7"/>
      <c r="J2603" s="7"/>
      <c r="K2603" s="7"/>
      <c r="M2603" s="6"/>
      <c r="N2603" s="3"/>
      <c r="O2603" s="3"/>
      <c r="P2603" s="3"/>
    </row>
    <row r="2604" spans="4:16" x14ac:dyDescent="0.25">
      <c r="D2604" s="2"/>
      <c r="F2604" s="7"/>
      <c r="G2604" s="7"/>
      <c r="H2604" s="7"/>
      <c r="I2604" s="7"/>
      <c r="J2604" s="7"/>
      <c r="K2604" s="7"/>
      <c r="M2604" s="6"/>
      <c r="N2604" s="3"/>
      <c r="O2604" s="3"/>
      <c r="P2604" s="3"/>
    </row>
    <row r="2605" spans="4:16" x14ac:dyDescent="0.25">
      <c r="D2605" s="2"/>
      <c r="F2605" s="7"/>
      <c r="G2605" s="7"/>
      <c r="H2605" s="7"/>
      <c r="I2605" s="7"/>
      <c r="J2605" s="7"/>
      <c r="K2605" s="7"/>
      <c r="M2605" s="6"/>
      <c r="N2605" s="3"/>
      <c r="O2605" s="3"/>
      <c r="P2605" s="3"/>
    </row>
    <row r="2606" spans="4:16" x14ac:dyDescent="0.25">
      <c r="D2606" s="2"/>
      <c r="F2606" s="7"/>
      <c r="G2606" s="7"/>
      <c r="H2606" s="7"/>
      <c r="I2606" s="7"/>
      <c r="J2606" s="7"/>
      <c r="K2606" s="7"/>
      <c r="M2606" s="6"/>
      <c r="N2606" s="3"/>
      <c r="O2606" s="3"/>
      <c r="P2606" s="3"/>
    </row>
    <row r="2607" spans="4:16" x14ac:dyDescent="0.25">
      <c r="D2607" s="2"/>
      <c r="F2607" s="7"/>
      <c r="G2607" s="7"/>
      <c r="H2607" s="7"/>
      <c r="I2607" s="7"/>
      <c r="J2607" s="7"/>
      <c r="K2607" s="7"/>
      <c r="M2607" s="6"/>
      <c r="N2607" s="3"/>
      <c r="O2607" s="3"/>
      <c r="P2607" s="3"/>
    </row>
    <row r="2608" spans="4:16" x14ac:dyDescent="0.25">
      <c r="D2608" s="2"/>
      <c r="F2608" s="7"/>
      <c r="G2608" s="7"/>
      <c r="H2608" s="7"/>
      <c r="I2608" s="7"/>
      <c r="J2608" s="7"/>
      <c r="K2608" s="7"/>
      <c r="M2608" s="6"/>
      <c r="N2608" s="3"/>
      <c r="O2608" s="3"/>
      <c r="P2608" s="3"/>
    </row>
    <row r="2609" spans="4:16" x14ac:dyDescent="0.25">
      <c r="D2609" s="2"/>
      <c r="F2609" s="7"/>
      <c r="G2609" s="7"/>
      <c r="H2609" s="7"/>
      <c r="I2609" s="7"/>
      <c r="J2609" s="7"/>
      <c r="K2609" s="7"/>
      <c r="M2609" s="6"/>
      <c r="N2609" s="3"/>
      <c r="O2609" s="3"/>
      <c r="P2609" s="3"/>
    </row>
    <row r="2610" spans="4:16" x14ac:dyDescent="0.25">
      <c r="D2610" s="2"/>
      <c r="F2610" s="7"/>
      <c r="G2610" s="7"/>
      <c r="H2610" s="7"/>
      <c r="I2610" s="7"/>
      <c r="J2610" s="7"/>
      <c r="K2610" s="7"/>
      <c r="M2610" s="6"/>
      <c r="N2610" s="3"/>
      <c r="O2610" s="3"/>
      <c r="P2610" s="3"/>
    </row>
    <row r="2611" spans="4:16" x14ac:dyDescent="0.25">
      <c r="D2611" s="2"/>
      <c r="F2611" s="7"/>
      <c r="G2611" s="7"/>
      <c r="H2611" s="7"/>
      <c r="I2611" s="7"/>
      <c r="J2611" s="7"/>
      <c r="K2611" s="7"/>
      <c r="M2611" s="6"/>
      <c r="N2611" s="3"/>
      <c r="O2611" s="3"/>
      <c r="P2611" s="3"/>
    </row>
    <row r="2612" spans="4:16" x14ac:dyDescent="0.25">
      <c r="D2612" s="2"/>
      <c r="F2612" s="7"/>
      <c r="G2612" s="7"/>
      <c r="H2612" s="7"/>
      <c r="I2612" s="7"/>
      <c r="J2612" s="7"/>
      <c r="K2612" s="7"/>
      <c r="M2612" s="6"/>
      <c r="N2612" s="3"/>
      <c r="O2612" s="3"/>
      <c r="P2612" s="3"/>
    </row>
    <row r="2613" spans="4:16" x14ac:dyDescent="0.25">
      <c r="D2613" s="2"/>
      <c r="F2613" s="7"/>
      <c r="G2613" s="7"/>
      <c r="H2613" s="7"/>
      <c r="I2613" s="7"/>
      <c r="J2613" s="7"/>
      <c r="K2613" s="7"/>
      <c r="M2613" s="6"/>
      <c r="N2613" s="3"/>
      <c r="O2613" s="3"/>
      <c r="P2613" s="3"/>
    </row>
    <row r="2614" spans="4:16" x14ac:dyDescent="0.25">
      <c r="D2614" s="2"/>
      <c r="F2614" s="7"/>
      <c r="G2614" s="7"/>
      <c r="H2614" s="7"/>
      <c r="I2614" s="7"/>
      <c r="J2614" s="7"/>
      <c r="K2614" s="7"/>
      <c r="M2614" s="6"/>
      <c r="N2614" s="3"/>
      <c r="O2614" s="3"/>
      <c r="P2614" s="3"/>
    </row>
    <row r="2615" spans="4:16" x14ac:dyDescent="0.25">
      <c r="D2615" s="2"/>
      <c r="F2615" s="7"/>
      <c r="G2615" s="7"/>
      <c r="H2615" s="7"/>
      <c r="I2615" s="7"/>
      <c r="J2615" s="7"/>
      <c r="K2615" s="7"/>
      <c r="M2615" s="6"/>
      <c r="N2615" s="3"/>
      <c r="O2615" s="3"/>
      <c r="P2615" s="3"/>
    </row>
    <row r="2616" spans="4:16" x14ac:dyDescent="0.25">
      <c r="D2616" s="2"/>
      <c r="F2616" s="7"/>
      <c r="G2616" s="7"/>
      <c r="H2616" s="7"/>
      <c r="I2616" s="7"/>
      <c r="J2616" s="7"/>
      <c r="K2616" s="7"/>
      <c r="M2616" s="6"/>
      <c r="N2616" s="3"/>
      <c r="O2616" s="3"/>
      <c r="P2616" s="3"/>
    </row>
    <row r="2617" spans="4:16" x14ac:dyDescent="0.25">
      <c r="D2617" s="2"/>
      <c r="F2617" s="7"/>
      <c r="G2617" s="7"/>
      <c r="H2617" s="7"/>
      <c r="I2617" s="7"/>
      <c r="J2617" s="7"/>
      <c r="K2617" s="7"/>
      <c r="M2617" s="6"/>
      <c r="N2617" s="3"/>
      <c r="O2617" s="3"/>
      <c r="P2617" s="3"/>
    </row>
    <row r="2618" spans="4:16" x14ac:dyDescent="0.25">
      <c r="D2618" s="2"/>
      <c r="F2618" s="7"/>
      <c r="G2618" s="7"/>
      <c r="H2618" s="7"/>
      <c r="I2618" s="7"/>
      <c r="J2618" s="7"/>
      <c r="K2618" s="7"/>
      <c r="M2618" s="6"/>
      <c r="N2618" s="3"/>
      <c r="O2618" s="3"/>
      <c r="P2618" s="3"/>
    </row>
    <row r="2619" spans="4:16" x14ac:dyDescent="0.25">
      <c r="D2619" s="2"/>
      <c r="F2619" s="7"/>
      <c r="G2619" s="7"/>
      <c r="H2619" s="7"/>
      <c r="I2619" s="7"/>
      <c r="J2619" s="7"/>
      <c r="K2619" s="7"/>
      <c r="M2619" s="6"/>
      <c r="N2619" s="3"/>
      <c r="O2619" s="3"/>
      <c r="P2619" s="3"/>
    </row>
    <row r="2620" spans="4:16" x14ac:dyDescent="0.25">
      <c r="D2620" s="2"/>
      <c r="F2620" s="7"/>
      <c r="G2620" s="7"/>
      <c r="H2620" s="7"/>
      <c r="I2620" s="7"/>
      <c r="J2620" s="7"/>
      <c r="K2620" s="7"/>
      <c r="M2620" s="6"/>
      <c r="N2620" s="3"/>
      <c r="O2620" s="3"/>
      <c r="P2620" s="3"/>
    </row>
    <row r="2621" spans="4:16" x14ac:dyDescent="0.25">
      <c r="D2621" s="2"/>
      <c r="F2621" s="7"/>
      <c r="G2621" s="7"/>
      <c r="H2621" s="7"/>
      <c r="I2621" s="7"/>
      <c r="J2621" s="7"/>
      <c r="K2621" s="7"/>
      <c r="M2621" s="6"/>
      <c r="N2621" s="3"/>
      <c r="O2621" s="3"/>
      <c r="P2621" s="3"/>
    </row>
    <row r="2622" spans="4:16" x14ac:dyDescent="0.25">
      <c r="D2622" s="2"/>
      <c r="F2622" s="7"/>
      <c r="G2622" s="7"/>
      <c r="H2622" s="7"/>
      <c r="I2622" s="7"/>
      <c r="J2622" s="7"/>
      <c r="K2622" s="7"/>
      <c r="M2622" s="6"/>
      <c r="N2622" s="3"/>
      <c r="O2622" s="3"/>
      <c r="P2622" s="3"/>
    </row>
    <row r="2623" spans="4:16" x14ac:dyDescent="0.25">
      <c r="D2623" s="2"/>
      <c r="F2623" s="7"/>
      <c r="G2623" s="7"/>
      <c r="H2623" s="7"/>
      <c r="I2623" s="7"/>
      <c r="J2623" s="7"/>
      <c r="K2623" s="7"/>
      <c r="M2623" s="6"/>
      <c r="N2623" s="3"/>
      <c r="O2623" s="3"/>
      <c r="P2623" s="3"/>
    </row>
    <row r="2624" spans="4:16" x14ac:dyDescent="0.25">
      <c r="D2624" s="2"/>
      <c r="F2624" s="7"/>
      <c r="G2624" s="7"/>
      <c r="H2624" s="7"/>
      <c r="I2624" s="7"/>
      <c r="J2624" s="7"/>
      <c r="K2624" s="7"/>
      <c r="M2624" s="6"/>
      <c r="N2624" s="3"/>
      <c r="O2624" s="3"/>
      <c r="P2624" s="3"/>
    </row>
    <row r="2625" spans="4:16" x14ac:dyDescent="0.25">
      <c r="D2625" s="2"/>
      <c r="F2625" s="7"/>
      <c r="G2625" s="7"/>
      <c r="H2625" s="7"/>
      <c r="I2625" s="7"/>
      <c r="J2625" s="7"/>
      <c r="K2625" s="7"/>
      <c r="M2625" s="6"/>
      <c r="N2625" s="3"/>
      <c r="O2625" s="3"/>
      <c r="P2625" s="3"/>
    </row>
    <row r="2626" spans="4:16" x14ac:dyDescent="0.25">
      <c r="D2626" s="2"/>
      <c r="F2626" s="7"/>
      <c r="G2626" s="7"/>
      <c r="H2626" s="7"/>
      <c r="I2626" s="7"/>
      <c r="J2626" s="7"/>
      <c r="K2626" s="7"/>
      <c r="M2626" s="6"/>
      <c r="N2626" s="3"/>
      <c r="O2626" s="3"/>
      <c r="P2626" s="3"/>
    </row>
    <row r="2627" spans="4:16" x14ac:dyDescent="0.25">
      <c r="D2627" s="2"/>
      <c r="F2627" s="7"/>
      <c r="G2627" s="7"/>
      <c r="H2627" s="7"/>
      <c r="I2627" s="7"/>
      <c r="J2627" s="7"/>
      <c r="K2627" s="7"/>
      <c r="M2627" s="6"/>
      <c r="N2627" s="3"/>
      <c r="O2627" s="3"/>
      <c r="P2627" s="3"/>
    </row>
    <row r="2628" spans="4:16" x14ac:dyDescent="0.25">
      <c r="D2628" s="2"/>
      <c r="F2628" s="7"/>
      <c r="G2628" s="7"/>
      <c r="H2628" s="7"/>
      <c r="I2628" s="7"/>
      <c r="J2628" s="7"/>
      <c r="K2628" s="7"/>
      <c r="M2628" s="6"/>
      <c r="N2628" s="3"/>
      <c r="O2628" s="3"/>
      <c r="P2628" s="3"/>
    </row>
    <row r="2629" spans="4:16" x14ac:dyDescent="0.25">
      <c r="D2629" s="2"/>
      <c r="F2629" s="7"/>
      <c r="G2629" s="7"/>
      <c r="H2629" s="7"/>
      <c r="I2629" s="7"/>
      <c r="J2629" s="7"/>
      <c r="K2629" s="7"/>
      <c r="M2629" s="6"/>
      <c r="N2629" s="3"/>
      <c r="O2629" s="3"/>
      <c r="P2629" s="3"/>
    </row>
    <row r="2630" spans="4:16" x14ac:dyDescent="0.25">
      <c r="D2630" s="2"/>
      <c r="F2630" s="7"/>
      <c r="G2630" s="7"/>
      <c r="H2630" s="7"/>
      <c r="I2630" s="7"/>
      <c r="J2630" s="7"/>
      <c r="K2630" s="7"/>
      <c r="M2630" s="6"/>
      <c r="N2630" s="3"/>
      <c r="O2630" s="3"/>
      <c r="P2630" s="3"/>
    </row>
    <row r="2631" spans="4:16" x14ac:dyDescent="0.25">
      <c r="D2631" s="2"/>
      <c r="F2631" s="7"/>
      <c r="G2631" s="7"/>
      <c r="H2631" s="7"/>
      <c r="I2631" s="7"/>
      <c r="J2631" s="7"/>
      <c r="K2631" s="7"/>
      <c r="M2631" s="6"/>
      <c r="N2631" s="3"/>
      <c r="O2631" s="3"/>
      <c r="P2631" s="3"/>
    </row>
    <row r="2632" spans="4:16" x14ac:dyDescent="0.25">
      <c r="D2632" s="2"/>
      <c r="F2632" s="7"/>
      <c r="G2632" s="7"/>
      <c r="H2632" s="7"/>
      <c r="I2632" s="7"/>
      <c r="J2632" s="7"/>
      <c r="K2632" s="7"/>
      <c r="M2632" s="6"/>
      <c r="N2632" s="3"/>
      <c r="O2632" s="3"/>
      <c r="P2632" s="3"/>
    </row>
    <row r="2633" spans="4:16" x14ac:dyDescent="0.25">
      <c r="D2633" s="2"/>
      <c r="F2633" s="7"/>
      <c r="G2633" s="7"/>
      <c r="H2633" s="7"/>
      <c r="I2633" s="7"/>
      <c r="J2633" s="7"/>
      <c r="K2633" s="7"/>
      <c r="M2633" s="6"/>
      <c r="N2633" s="3"/>
      <c r="O2633" s="3"/>
      <c r="P2633" s="3"/>
    </row>
    <row r="2634" spans="4:16" x14ac:dyDescent="0.25">
      <c r="D2634" s="2"/>
      <c r="F2634" s="7"/>
      <c r="G2634" s="7"/>
      <c r="H2634" s="7"/>
      <c r="I2634" s="7"/>
      <c r="J2634" s="7"/>
      <c r="K2634" s="7"/>
      <c r="M2634" s="6"/>
      <c r="N2634" s="3"/>
      <c r="O2634" s="3"/>
      <c r="P2634" s="3"/>
    </row>
    <row r="2635" spans="4:16" x14ac:dyDescent="0.25">
      <c r="D2635" s="2"/>
      <c r="F2635" s="7"/>
      <c r="G2635" s="7"/>
      <c r="H2635" s="7"/>
      <c r="I2635" s="7"/>
      <c r="J2635" s="7"/>
      <c r="K2635" s="7"/>
      <c r="M2635" s="6"/>
      <c r="N2635" s="3"/>
      <c r="O2635" s="3"/>
      <c r="P2635" s="3"/>
    </row>
    <row r="2636" spans="4:16" x14ac:dyDescent="0.25">
      <c r="D2636" s="2"/>
      <c r="F2636" s="7"/>
      <c r="G2636" s="7"/>
      <c r="H2636" s="7"/>
      <c r="I2636" s="7"/>
      <c r="J2636" s="7"/>
      <c r="K2636" s="7"/>
      <c r="M2636" s="6"/>
      <c r="N2636" s="3"/>
      <c r="O2636" s="3"/>
      <c r="P2636" s="3"/>
    </row>
    <row r="2637" spans="4:16" x14ac:dyDescent="0.25">
      <c r="D2637" s="2"/>
      <c r="F2637" s="7"/>
      <c r="G2637" s="7"/>
      <c r="H2637" s="7"/>
      <c r="I2637" s="7"/>
      <c r="J2637" s="7"/>
      <c r="K2637" s="7"/>
      <c r="M2637" s="6"/>
      <c r="N2637" s="3"/>
      <c r="O2637" s="3"/>
      <c r="P2637" s="3"/>
    </row>
    <row r="2638" spans="4:16" x14ac:dyDescent="0.25">
      <c r="D2638" s="2"/>
      <c r="F2638" s="7"/>
      <c r="G2638" s="7"/>
      <c r="H2638" s="7"/>
      <c r="I2638" s="7"/>
      <c r="J2638" s="7"/>
      <c r="K2638" s="7"/>
      <c r="M2638" s="6"/>
      <c r="N2638" s="3"/>
      <c r="O2638" s="3"/>
      <c r="P2638" s="3"/>
    </row>
    <row r="2639" spans="4:16" x14ac:dyDescent="0.25">
      <c r="D2639" s="2"/>
      <c r="F2639" s="7"/>
      <c r="G2639" s="7"/>
      <c r="H2639" s="7"/>
      <c r="I2639" s="7"/>
      <c r="J2639" s="7"/>
      <c r="K2639" s="7"/>
      <c r="M2639" s="6"/>
      <c r="N2639" s="3"/>
      <c r="O2639" s="3"/>
      <c r="P2639" s="3"/>
    </row>
    <row r="2640" spans="4:16" x14ac:dyDescent="0.25">
      <c r="D2640" s="2"/>
      <c r="F2640" s="7"/>
      <c r="G2640" s="7"/>
      <c r="H2640" s="7"/>
      <c r="I2640" s="7"/>
      <c r="J2640" s="7"/>
      <c r="K2640" s="7"/>
      <c r="M2640" s="6"/>
      <c r="N2640" s="3"/>
      <c r="O2640" s="3"/>
      <c r="P2640" s="3"/>
    </row>
    <row r="2641" spans="4:16" x14ac:dyDescent="0.25">
      <c r="D2641" s="2"/>
      <c r="F2641" s="7"/>
      <c r="G2641" s="7"/>
      <c r="H2641" s="7"/>
      <c r="I2641" s="7"/>
      <c r="J2641" s="7"/>
      <c r="K2641" s="7"/>
      <c r="M2641" s="6"/>
      <c r="N2641" s="3"/>
      <c r="O2641" s="3"/>
      <c r="P2641" s="3"/>
    </row>
    <row r="2642" spans="4:16" x14ac:dyDescent="0.25">
      <c r="D2642" s="2"/>
      <c r="F2642" s="7"/>
      <c r="G2642" s="7"/>
      <c r="H2642" s="7"/>
      <c r="I2642" s="7"/>
      <c r="J2642" s="7"/>
      <c r="K2642" s="7"/>
      <c r="M2642" s="6"/>
      <c r="N2642" s="3"/>
      <c r="O2642" s="3"/>
      <c r="P2642" s="3"/>
    </row>
    <row r="2643" spans="4:16" x14ac:dyDescent="0.25">
      <c r="D2643" s="2"/>
      <c r="F2643" s="7"/>
      <c r="G2643" s="7"/>
      <c r="H2643" s="7"/>
      <c r="I2643" s="7"/>
      <c r="J2643" s="7"/>
      <c r="K2643" s="7"/>
      <c r="M2643" s="6"/>
      <c r="N2643" s="3"/>
      <c r="O2643" s="3"/>
      <c r="P2643" s="3"/>
    </row>
    <row r="2644" spans="4:16" x14ac:dyDescent="0.25">
      <c r="D2644" s="2"/>
      <c r="F2644" s="7"/>
      <c r="G2644" s="7"/>
      <c r="H2644" s="7"/>
      <c r="I2644" s="7"/>
      <c r="J2644" s="7"/>
      <c r="K2644" s="7"/>
      <c r="M2644" s="6"/>
      <c r="N2644" s="3"/>
      <c r="O2644" s="3"/>
      <c r="P2644" s="3"/>
    </row>
    <row r="2645" spans="4:16" x14ac:dyDescent="0.25">
      <c r="D2645" s="2"/>
      <c r="F2645" s="7"/>
      <c r="G2645" s="7"/>
      <c r="H2645" s="7"/>
      <c r="I2645" s="7"/>
      <c r="J2645" s="7"/>
      <c r="K2645" s="7"/>
      <c r="M2645" s="6"/>
      <c r="N2645" s="3"/>
      <c r="O2645" s="3"/>
      <c r="P2645" s="3"/>
    </row>
    <row r="2646" spans="4:16" x14ac:dyDescent="0.25">
      <c r="D2646" s="2"/>
      <c r="F2646" s="7"/>
      <c r="G2646" s="7"/>
      <c r="H2646" s="7"/>
      <c r="I2646" s="7"/>
      <c r="J2646" s="7"/>
      <c r="K2646" s="7"/>
      <c r="M2646" s="6"/>
      <c r="N2646" s="3"/>
      <c r="O2646" s="3"/>
      <c r="P2646" s="3"/>
    </row>
    <row r="2647" spans="4:16" x14ac:dyDescent="0.25">
      <c r="D2647" s="2"/>
      <c r="F2647" s="7"/>
      <c r="G2647" s="7"/>
      <c r="H2647" s="7"/>
      <c r="I2647" s="7"/>
      <c r="J2647" s="7"/>
      <c r="K2647" s="7"/>
      <c r="M2647" s="6"/>
      <c r="N2647" s="3"/>
      <c r="O2647" s="3"/>
      <c r="P2647" s="3"/>
    </row>
    <row r="2648" spans="4:16" x14ac:dyDescent="0.25">
      <c r="D2648" s="2"/>
      <c r="F2648" s="7"/>
      <c r="G2648" s="7"/>
      <c r="H2648" s="7"/>
      <c r="I2648" s="7"/>
      <c r="J2648" s="7"/>
      <c r="K2648" s="7"/>
      <c r="M2648" s="6"/>
      <c r="N2648" s="3"/>
      <c r="O2648" s="3"/>
      <c r="P2648" s="3"/>
    </row>
    <row r="2649" spans="4:16" x14ac:dyDescent="0.25">
      <c r="D2649" s="2"/>
      <c r="F2649" s="7"/>
      <c r="G2649" s="7"/>
      <c r="H2649" s="7"/>
      <c r="I2649" s="7"/>
      <c r="J2649" s="7"/>
      <c r="K2649" s="7"/>
      <c r="M2649" s="6"/>
      <c r="N2649" s="3"/>
      <c r="O2649" s="3"/>
      <c r="P2649" s="3"/>
    </row>
    <row r="2650" spans="4:16" x14ac:dyDescent="0.25">
      <c r="D2650" s="2"/>
      <c r="F2650" s="7"/>
      <c r="G2650" s="7"/>
      <c r="H2650" s="7"/>
      <c r="I2650" s="7"/>
      <c r="J2650" s="7"/>
      <c r="K2650" s="7"/>
      <c r="M2650" s="6"/>
      <c r="N2650" s="3"/>
      <c r="O2650" s="3"/>
      <c r="P2650" s="3"/>
    </row>
    <row r="2651" spans="4:16" x14ac:dyDescent="0.25">
      <c r="D2651" s="2"/>
      <c r="F2651" s="7"/>
      <c r="G2651" s="7"/>
      <c r="H2651" s="7"/>
      <c r="I2651" s="7"/>
      <c r="J2651" s="7"/>
      <c r="K2651" s="7"/>
      <c r="M2651" s="6"/>
      <c r="N2651" s="3"/>
      <c r="O2651" s="3"/>
      <c r="P2651" s="3"/>
    </row>
    <row r="2652" spans="4:16" x14ac:dyDescent="0.25">
      <c r="D2652" s="2"/>
      <c r="F2652" s="7"/>
      <c r="G2652" s="7"/>
      <c r="H2652" s="7"/>
      <c r="I2652" s="7"/>
      <c r="J2652" s="7"/>
      <c r="K2652" s="7"/>
      <c r="M2652" s="6"/>
      <c r="N2652" s="3"/>
      <c r="O2652" s="3"/>
      <c r="P2652" s="3"/>
    </row>
    <row r="2653" spans="4:16" x14ac:dyDescent="0.25">
      <c r="D2653" s="2"/>
      <c r="F2653" s="7"/>
      <c r="G2653" s="7"/>
      <c r="H2653" s="7"/>
      <c r="I2653" s="7"/>
      <c r="J2653" s="7"/>
      <c r="K2653" s="7"/>
      <c r="M2653" s="6"/>
      <c r="N2653" s="3"/>
      <c r="O2653" s="3"/>
      <c r="P2653" s="3"/>
    </row>
    <row r="2654" spans="4:16" x14ac:dyDescent="0.25">
      <c r="D2654" s="2"/>
      <c r="F2654" s="7"/>
      <c r="G2654" s="7"/>
      <c r="H2654" s="7"/>
      <c r="I2654" s="7"/>
      <c r="J2654" s="7"/>
      <c r="K2654" s="7"/>
      <c r="M2654" s="6"/>
      <c r="N2654" s="3"/>
      <c r="O2654" s="3"/>
      <c r="P2654" s="3"/>
    </row>
    <row r="2655" spans="4:16" x14ac:dyDescent="0.25">
      <c r="D2655" s="2"/>
      <c r="F2655" s="7"/>
      <c r="G2655" s="7"/>
      <c r="H2655" s="7"/>
      <c r="I2655" s="7"/>
      <c r="J2655" s="7"/>
      <c r="K2655" s="7"/>
      <c r="M2655" s="6"/>
      <c r="N2655" s="3"/>
      <c r="O2655" s="3"/>
      <c r="P2655" s="3"/>
    </row>
    <row r="2656" spans="4:16" x14ac:dyDescent="0.25">
      <c r="D2656" s="2"/>
      <c r="F2656" s="7"/>
      <c r="G2656" s="7"/>
      <c r="H2656" s="7"/>
      <c r="I2656" s="7"/>
      <c r="J2656" s="7"/>
      <c r="K2656" s="7"/>
      <c r="M2656" s="6"/>
      <c r="N2656" s="3"/>
      <c r="O2656" s="3"/>
      <c r="P2656" s="3"/>
    </row>
    <row r="2657" spans="4:16" x14ac:dyDescent="0.25">
      <c r="D2657" s="2"/>
      <c r="F2657" s="7"/>
      <c r="G2657" s="7"/>
      <c r="H2657" s="7"/>
      <c r="I2657" s="7"/>
      <c r="J2657" s="7"/>
      <c r="K2657" s="7"/>
      <c r="M2657" s="6"/>
      <c r="N2657" s="3"/>
      <c r="O2657" s="3"/>
      <c r="P2657" s="3"/>
    </row>
    <row r="2658" spans="4:16" x14ac:dyDescent="0.25">
      <c r="D2658" s="2"/>
      <c r="F2658" s="7"/>
      <c r="G2658" s="7"/>
      <c r="H2658" s="7"/>
      <c r="I2658" s="7"/>
      <c r="J2658" s="7"/>
      <c r="K2658" s="7"/>
      <c r="M2658" s="6"/>
      <c r="N2658" s="3"/>
      <c r="O2658" s="3"/>
      <c r="P2658" s="3"/>
    </row>
    <row r="2659" spans="4:16" x14ac:dyDescent="0.25">
      <c r="D2659" s="2"/>
      <c r="F2659" s="7"/>
      <c r="G2659" s="7"/>
      <c r="H2659" s="7"/>
      <c r="I2659" s="7"/>
      <c r="J2659" s="7"/>
      <c r="K2659" s="7"/>
      <c r="M2659" s="6"/>
      <c r="N2659" s="3"/>
      <c r="O2659" s="3"/>
      <c r="P2659" s="3"/>
    </row>
    <row r="2660" spans="4:16" x14ac:dyDescent="0.25">
      <c r="D2660" s="2"/>
      <c r="F2660" s="7"/>
      <c r="G2660" s="7"/>
      <c r="H2660" s="7"/>
      <c r="I2660" s="7"/>
      <c r="J2660" s="7"/>
      <c r="K2660" s="7"/>
      <c r="M2660" s="6"/>
      <c r="N2660" s="3"/>
      <c r="O2660" s="3"/>
      <c r="P2660" s="3"/>
    </row>
    <row r="2661" spans="4:16" x14ac:dyDescent="0.25">
      <c r="D2661" s="2"/>
      <c r="F2661" s="7"/>
      <c r="G2661" s="7"/>
      <c r="H2661" s="7"/>
      <c r="I2661" s="7"/>
      <c r="J2661" s="7"/>
      <c r="K2661" s="7"/>
      <c r="M2661" s="6"/>
      <c r="N2661" s="3"/>
      <c r="O2661" s="3"/>
      <c r="P2661" s="3"/>
    </row>
    <row r="2662" spans="4:16" x14ac:dyDescent="0.25">
      <c r="D2662" s="2"/>
      <c r="F2662" s="7"/>
      <c r="G2662" s="7"/>
      <c r="H2662" s="7"/>
      <c r="I2662" s="7"/>
      <c r="J2662" s="7"/>
      <c r="K2662" s="7"/>
      <c r="M2662" s="6"/>
      <c r="N2662" s="3"/>
      <c r="O2662" s="3"/>
      <c r="P2662" s="3"/>
    </row>
    <row r="2663" spans="4:16" x14ac:dyDescent="0.25">
      <c r="D2663" s="2"/>
      <c r="F2663" s="7"/>
      <c r="G2663" s="7"/>
      <c r="H2663" s="7"/>
      <c r="I2663" s="7"/>
      <c r="J2663" s="7"/>
      <c r="K2663" s="7"/>
      <c r="M2663" s="6"/>
      <c r="N2663" s="3"/>
      <c r="O2663" s="3"/>
      <c r="P2663" s="3"/>
    </row>
    <row r="2664" spans="4:16" x14ac:dyDescent="0.25">
      <c r="D2664" s="2"/>
      <c r="F2664" s="7"/>
      <c r="G2664" s="7"/>
      <c r="H2664" s="7"/>
      <c r="I2664" s="7"/>
      <c r="J2664" s="7"/>
      <c r="K2664" s="7"/>
      <c r="M2664" s="6"/>
      <c r="N2664" s="3"/>
      <c r="O2664" s="3"/>
      <c r="P2664" s="3"/>
    </row>
    <row r="2665" spans="4:16" x14ac:dyDescent="0.25">
      <c r="D2665" s="2"/>
      <c r="F2665" s="7"/>
      <c r="G2665" s="7"/>
      <c r="H2665" s="7"/>
      <c r="I2665" s="7"/>
      <c r="J2665" s="7"/>
      <c r="K2665" s="7"/>
      <c r="M2665" s="6"/>
      <c r="N2665" s="3"/>
      <c r="O2665" s="3"/>
      <c r="P2665" s="3"/>
    </row>
  </sheetData>
  <mergeCells count="1">
    <mergeCell ref="B4:M4"/>
  </mergeCells>
  <hyperlinks>
    <hyperlink ref="Q17" r:id="rId1"/>
    <hyperlink ref="Q18" r:id="rId2"/>
    <hyperlink ref="Q143" r:id="rId3"/>
    <hyperlink ref="Q19" r:id="rId4"/>
    <hyperlink ref="Q20" r:id="rId5"/>
    <hyperlink ref="Q21" r:id="rId6"/>
    <hyperlink ref="Q22" r:id="rId7"/>
    <hyperlink ref="Q23" r:id="rId8"/>
    <hyperlink ref="Q24" r:id="rId9"/>
    <hyperlink ref="Q25" r:id="rId10"/>
    <hyperlink ref="Q26" r:id="rId11"/>
    <hyperlink ref="Q27" r:id="rId12"/>
    <hyperlink ref="Q28" r:id="rId13"/>
    <hyperlink ref="Q29" r:id="rId14"/>
    <hyperlink ref="Q30" r:id="rId15"/>
    <hyperlink ref="Q31" r:id="rId16"/>
    <hyperlink ref="Q32" r:id="rId17"/>
    <hyperlink ref="Q33" r:id="rId18"/>
    <hyperlink ref="Q34" r:id="rId19"/>
    <hyperlink ref="Q35" r:id="rId20"/>
    <hyperlink ref="Q36" r:id="rId21"/>
    <hyperlink ref="Q37" r:id="rId22"/>
    <hyperlink ref="Q38" r:id="rId23"/>
    <hyperlink ref="Q39" r:id="rId24"/>
    <hyperlink ref="Q40" r:id="rId25"/>
    <hyperlink ref="Q41" r:id="rId26"/>
    <hyperlink ref="Q42" r:id="rId27"/>
    <hyperlink ref="Q43" r:id="rId28"/>
    <hyperlink ref="Q44" r:id="rId29"/>
    <hyperlink ref="Q45" r:id="rId30"/>
    <hyperlink ref="Q46" r:id="rId31"/>
    <hyperlink ref="Q47" r:id="rId32"/>
    <hyperlink ref="Q48" r:id="rId33"/>
    <hyperlink ref="Q49" r:id="rId34"/>
    <hyperlink ref="Q50" r:id="rId35"/>
    <hyperlink ref="Q51" r:id="rId36"/>
    <hyperlink ref="Q52" r:id="rId37"/>
    <hyperlink ref="Q53" r:id="rId38"/>
    <hyperlink ref="Q54" r:id="rId39"/>
    <hyperlink ref="Q55" r:id="rId40"/>
    <hyperlink ref="Q56" r:id="rId41"/>
    <hyperlink ref="Q57" r:id="rId42"/>
    <hyperlink ref="Q58" r:id="rId43"/>
    <hyperlink ref="Q59" r:id="rId44"/>
    <hyperlink ref="Q60" r:id="rId45"/>
    <hyperlink ref="Q61" r:id="rId46"/>
    <hyperlink ref="Q62" r:id="rId47"/>
    <hyperlink ref="Q63" r:id="rId48"/>
    <hyperlink ref="Q64" r:id="rId49"/>
    <hyperlink ref="Q65" r:id="rId50"/>
    <hyperlink ref="Q66" r:id="rId51"/>
    <hyperlink ref="Q67" r:id="rId52"/>
    <hyperlink ref="Q68" r:id="rId53"/>
    <hyperlink ref="Q69" r:id="rId54"/>
    <hyperlink ref="Q70" r:id="rId55"/>
    <hyperlink ref="Q71" r:id="rId56"/>
    <hyperlink ref="Q72" r:id="rId57"/>
    <hyperlink ref="Q73" r:id="rId58"/>
    <hyperlink ref="Q74" r:id="rId59"/>
    <hyperlink ref="Q75" r:id="rId60"/>
    <hyperlink ref="Q76" r:id="rId61"/>
    <hyperlink ref="Q77" r:id="rId62"/>
    <hyperlink ref="Q78" r:id="rId63"/>
    <hyperlink ref="Q79" r:id="rId64"/>
    <hyperlink ref="Q80" r:id="rId65"/>
    <hyperlink ref="Q81" r:id="rId66"/>
    <hyperlink ref="Q82" r:id="rId67"/>
    <hyperlink ref="Q83" r:id="rId68"/>
    <hyperlink ref="Q84" r:id="rId69"/>
    <hyperlink ref="Q85" r:id="rId70"/>
    <hyperlink ref="Q86" r:id="rId71"/>
    <hyperlink ref="Q87" r:id="rId72"/>
    <hyperlink ref="Q88" r:id="rId73"/>
    <hyperlink ref="Q89" r:id="rId74"/>
    <hyperlink ref="Q90" r:id="rId75"/>
    <hyperlink ref="Q91" r:id="rId76"/>
    <hyperlink ref="Q92" r:id="rId77"/>
    <hyperlink ref="Q93" r:id="rId78"/>
    <hyperlink ref="Q94" r:id="rId79"/>
    <hyperlink ref="Q95" r:id="rId80"/>
    <hyperlink ref="Q96" r:id="rId81"/>
    <hyperlink ref="Q97" r:id="rId82"/>
    <hyperlink ref="Q98" r:id="rId83"/>
    <hyperlink ref="Q99" r:id="rId84"/>
    <hyperlink ref="Q100" r:id="rId85"/>
    <hyperlink ref="Q101" r:id="rId86"/>
    <hyperlink ref="Q102" r:id="rId87"/>
    <hyperlink ref="Q103" r:id="rId88"/>
    <hyperlink ref="Q104" r:id="rId89"/>
    <hyperlink ref="Q105" r:id="rId90"/>
    <hyperlink ref="Q106" r:id="rId91"/>
    <hyperlink ref="Q107" r:id="rId92"/>
    <hyperlink ref="Q108" r:id="rId93"/>
    <hyperlink ref="Q109" r:id="rId94"/>
    <hyperlink ref="Q110" r:id="rId95"/>
    <hyperlink ref="Q111" r:id="rId96"/>
    <hyperlink ref="Q112" r:id="rId97"/>
    <hyperlink ref="Q113" r:id="rId98"/>
    <hyperlink ref="Q114" r:id="rId99"/>
    <hyperlink ref="Q115" r:id="rId100"/>
    <hyperlink ref="Q116" r:id="rId101"/>
    <hyperlink ref="Q117" r:id="rId102"/>
    <hyperlink ref="Q118" r:id="rId103"/>
    <hyperlink ref="Q119" r:id="rId104"/>
    <hyperlink ref="Q120" r:id="rId105"/>
    <hyperlink ref="Q121" r:id="rId106"/>
    <hyperlink ref="Q122" r:id="rId107"/>
    <hyperlink ref="Q123" r:id="rId108"/>
    <hyperlink ref="Q124" r:id="rId109"/>
    <hyperlink ref="Q125" r:id="rId110"/>
    <hyperlink ref="Q126" r:id="rId111"/>
    <hyperlink ref="Q127" r:id="rId112"/>
    <hyperlink ref="Q128" r:id="rId113"/>
    <hyperlink ref="Q129" r:id="rId114"/>
    <hyperlink ref="Q130" r:id="rId115"/>
    <hyperlink ref="Q131" r:id="rId116"/>
    <hyperlink ref="Q132" r:id="rId117"/>
    <hyperlink ref="Q133" r:id="rId118"/>
    <hyperlink ref="Q134" r:id="rId119"/>
    <hyperlink ref="Q135" r:id="rId120"/>
    <hyperlink ref="Q136" r:id="rId121"/>
    <hyperlink ref="Q137" r:id="rId122"/>
    <hyperlink ref="Q138" r:id="rId123"/>
    <hyperlink ref="Q139" r:id="rId124"/>
    <hyperlink ref="Q140" r:id="rId125"/>
    <hyperlink ref="Q141" r:id="rId126"/>
    <hyperlink ref="Q142" r:id="rId127"/>
    <hyperlink ref="Q144" r:id="rId128"/>
    <hyperlink ref="Q145" r:id="rId129"/>
    <hyperlink ref="Q146" r:id="rId130"/>
    <hyperlink ref="Q147" r:id="rId131"/>
    <hyperlink ref="Q148" r:id="rId132"/>
    <hyperlink ref="Q149" r:id="rId133"/>
    <hyperlink ref="Q150" r:id="rId134"/>
    <hyperlink ref="Q151" r:id="rId135"/>
    <hyperlink ref="Q152" r:id="rId136"/>
    <hyperlink ref="Q153" r:id="rId137"/>
    <hyperlink ref="Q154" r:id="rId138"/>
    <hyperlink ref="Q155" r:id="rId139"/>
    <hyperlink ref="Q156" r:id="rId140"/>
    <hyperlink ref="Q157" r:id="rId141"/>
    <hyperlink ref="Q158" r:id="rId142"/>
    <hyperlink ref="Q159" r:id="rId143"/>
    <hyperlink ref="Q160" r:id="rId144"/>
    <hyperlink ref="Q161" r:id="rId145"/>
    <hyperlink ref="Q162" r:id="rId146"/>
    <hyperlink ref="Q163" r:id="rId147"/>
    <hyperlink ref="Q164" r:id="rId148"/>
    <hyperlink ref="Q165" r:id="rId149"/>
    <hyperlink ref="Q166" r:id="rId150"/>
    <hyperlink ref="Q167" r:id="rId151"/>
    <hyperlink ref="Q168" r:id="rId152"/>
    <hyperlink ref="Q169" r:id="rId153"/>
    <hyperlink ref="Q170" r:id="rId154"/>
    <hyperlink ref="Q171" r:id="rId155"/>
    <hyperlink ref="Q172" r:id="rId156"/>
    <hyperlink ref="Q173" r:id="rId157"/>
    <hyperlink ref="Q174" r:id="rId158"/>
    <hyperlink ref="Q175" r:id="rId159"/>
    <hyperlink ref="Q176" r:id="rId160"/>
    <hyperlink ref="Q177" r:id="rId161"/>
    <hyperlink ref="Q178" r:id="rId162"/>
    <hyperlink ref="Q179" r:id="rId163"/>
    <hyperlink ref="Q180" r:id="rId164"/>
    <hyperlink ref="Q181" r:id="rId165"/>
    <hyperlink ref="Q182" r:id="rId166"/>
    <hyperlink ref="Q183" r:id="rId167"/>
    <hyperlink ref="Q184" r:id="rId168"/>
    <hyperlink ref="Q185" r:id="rId169"/>
    <hyperlink ref="Q186" r:id="rId170"/>
    <hyperlink ref="Q187" r:id="rId171"/>
    <hyperlink ref="Q188" r:id="rId172"/>
    <hyperlink ref="Q189" r:id="rId173"/>
    <hyperlink ref="Q190" r:id="rId174"/>
    <hyperlink ref="Q191" r:id="rId175"/>
    <hyperlink ref="Q192" r:id="rId176"/>
    <hyperlink ref="Q193" r:id="rId177"/>
    <hyperlink ref="Q194" r:id="rId178"/>
    <hyperlink ref="Q195" r:id="rId179"/>
    <hyperlink ref="Q196" r:id="rId180"/>
    <hyperlink ref="Q197" r:id="rId181"/>
    <hyperlink ref="Q198" r:id="rId182"/>
    <hyperlink ref="Q199" r:id="rId183"/>
    <hyperlink ref="Q200" r:id="rId184"/>
    <hyperlink ref="Q201" r:id="rId185"/>
    <hyperlink ref="Q202" r:id="rId186"/>
    <hyperlink ref="Q203" r:id="rId187"/>
    <hyperlink ref="Q204" r:id="rId188"/>
    <hyperlink ref="Q205" r:id="rId189"/>
    <hyperlink ref="Q206" r:id="rId190"/>
    <hyperlink ref="Q207" r:id="rId191"/>
    <hyperlink ref="Q208" r:id="rId192"/>
    <hyperlink ref="Q209" r:id="rId193"/>
    <hyperlink ref="Q210" r:id="rId194"/>
    <hyperlink ref="Q211" r:id="rId195"/>
    <hyperlink ref="Q212" r:id="rId196"/>
  </hyperlinks>
  <pageMargins left="0.7" right="0.7" top="0.75" bottom="0.75" header="0.3" footer="0.3"/>
  <pageSetup orientation="portrait" r:id="rId197"/>
  <legacyDrawing r:id="rId19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03"/>
  <sheetViews>
    <sheetView workbookViewId="0">
      <selection activeCell="B3" sqref="B3"/>
    </sheetView>
  </sheetViews>
  <sheetFormatPr defaultRowHeight="15" x14ac:dyDescent="0.25"/>
  <cols>
    <col min="1" max="1" width="21.42578125" customWidth="1"/>
    <col min="2" max="2" width="10.140625" customWidth="1"/>
  </cols>
  <sheetData>
    <row r="1" spans="1:3" x14ac:dyDescent="0.25">
      <c r="A1" t="s">
        <v>513</v>
      </c>
      <c r="B1" t="s">
        <v>514</v>
      </c>
      <c r="C1" t="s">
        <v>9</v>
      </c>
    </row>
    <row r="2" spans="1:3" x14ac:dyDescent="0.25">
      <c r="A2" t="s">
        <v>515</v>
      </c>
    </row>
    <row r="3" spans="1:3" x14ac:dyDescent="0.25">
      <c r="A3" t="s">
        <v>516</v>
      </c>
      <c r="B3">
        <v>23.25</v>
      </c>
    </row>
    <row r="4" spans="1:3" x14ac:dyDescent="0.25">
      <c r="A4" t="s">
        <v>517</v>
      </c>
      <c r="B4" t="s">
        <v>518</v>
      </c>
    </row>
    <row r="5" spans="1:3" x14ac:dyDescent="0.25">
      <c r="A5" t="s">
        <v>519</v>
      </c>
      <c r="B5" t="s">
        <v>572</v>
      </c>
    </row>
    <row r="6" spans="1:3" x14ac:dyDescent="0.25">
      <c r="A6" t="s">
        <v>520</v>
      </c>
      <c r="B6" s="12">
        <v>5.8999999999999999E-3</v>
      </c>
    </row>
    <row r="7" spans="1:3" x14ac:dyDescent="0.25">
      <c r="A7" t="s">
        <v>521</v>
      </c>
      <c r="B7" t="s">
        <v>522</v>
      </c>
    </row>
    <row r="8" spans="1:3" x14ac:dyDescent="0.25">
      <c r="A8" t="s">
        <v>523</v>
      </c>
      <c r="B8" t="s">
        <v>524</v>
      </c>
    </row>
    <row r="10" spans="1:3" x14ac:dyDescent="0.25">
      <c r="A10" t="s">
        <v>513</v>
      </c>
      <c r="B10" t="s">
        <v>514</v>
      </c>
      <c r="C10" t="s">
        <v>538</v>
      </c>
    </row>
    <row r="11" spans="1:3" x14ac:dyDescent="0.25">
      <c r="A11" t="s">
        <v>516</v>
      </c>
      <c r="B11">
        <v>32.07</v>
      </c>
    </row>
    <row r="12" spans="1:3" x14ac:dyDescent="0.25">
      <c r="A12" t="s">
        <v>525</v>
      </c>
      <c r="B12">
        <v>32.18</v>
      </c>
    </row>
    <row r="13" spans="1:3" x14ac:dyDescent="0.25">
      <c r="A13" t="s">
        <v>526</v>
      </c>
      <c r="B13">
        <v>32.479999999999997</v>
      </c>
    </row>
    <row r="14" spans="1:3" x14ac:dyDescent="0.25">
      <c r="A14" t="s">
        <v>527</v>
      </c>
      <c r="B14">
        <v>31.97</v>
      </c>
    </row>
    <row r="15" spans="1:3" x14ac:dyDescent="0.25">
      <c r="A15" t="s">
        <v>528</v>
      </c>
      <c r="B15" s="21" t="s">
        <v>624</v>
      </c>
    </row>
    <row r="16" spans="1:3" x14ac:dyDescent="0.25">
      <c r="A16" t="s">
        <v>529</v>
      </c>
      <c r="B16" t="s">
        <v>625</v>
      </c>
    </row>
    <row r="17" spans="1:3" x14ac:dyDescent="0.25">
      <c r="A17" t="s">
        <v>530</v>
      </c>
      <c r="B17">
        <v>30</v>
      </c>
    </row>
    <row r="18" spans="1:3" x14ac:dyDescent="0.25">
      <c r="A18" t="s">
        <v>531</v>
      </c>
      <c r="B18">
        <v>400</v>
      </c>
    </row>
    <row r="19" spans="1:3" x14ac:dyDescent="0.25">
      <c r="A19" t="s">
        <v>533</v>
      </c>
      <c r="B19">
        <v>33.32</v>
      </c>
    </row>
    <row r="20" spans="1:3" x14ac:dyDescent="0.25">
      <c r="A20" t="s">
        <v>534</v>
      </c>
      <c r="B20" s="21">
        <v>1000</v>
      </c>
    </row>
    <row r="21" spans="1:3" x14ac:dyDescent="0.25">
      <c r="A21" t="s">
        <v>535</v>
      </c>
      <c r="B21">
        <v>41.63</v>
      </c>
    </row>
    <row r="22" spans="1:3" x14ac:dyDescent="0.25">
      <c r="A22" t="s">
        <v>536</v>
      </c>
      <c r="B22">
        <v>24.33</v>
      </c>
    </row>
    <row r="23" spans="1:3" x14ac:dyDescent="0.25">
      <c r="A23" t="s">
        <v>537</v>
      </c>
      <c r="B23" t="s">
        <v>532</v>
      </c>
    </row>
    <row r="24" spans="1:3" x14ac:dyDescent="0.25">
      <c r="A24" t="s">
        <v>520</v>
      </c>
      <c r="B24" t="s">
        <v>532</v>
      </c>
    </row>
    <row r="26" spans="1:3" x14ac:dyDescent="0.25">
      <c r="A26" t="s">
        <v>513</v>
      </c>
      <c r="B26" t="s">
        <v>514</v>
      </c>
      <c r="C26" t="s">
        <v>31</v>
      </c>
    </row>
    <row r="27" spans="1:3" x14ac:dyDescent="0.25">
      <c r="A27" t="s">
        <v>516</v>
      </c>
      <c r="B27">
        <v>12.08</v>
      </c>
    </row>
    <row r="28" spans="1:3" x14ac:dyDescent="0.25">
      <c r="A28" t="s">
        <v>525</v>
      </c>
      <c r="B28">
        <v>12.17</v>
      </c>
    </row>
    <row r="29" spans="1:3" x14ac:dyDescent="0.25">
      <c r="A29" t="s">
        <v>526</v>
      </c>
      <c r="B29">
        <v>12.17</v>
      </c>
    </row>
    <row r="30" spans="1:3" x14ac:dyDescent="0.25">
      <c r="A30" t="s">
        <v>527</v>
      </c>
      <c r="B30">
        <v>11.94</v>
      </c>
    </row>
    <row r="31" spans="1:3" x14ac:dyDescent="0.25">
      <c r="A31" t="s">
        <v>528</v>
      </c>
      <c r="B31" s="21">
        <v>143927</v>
      </c>
    </row>
    <row r="32" spans="1:3" x14ac:dyDescent="0.25">
      <c r="A32" t="s">
        <v>529</v>
      </c>
      <c r="B32" s="22">
        <v>356967.63</v>
      </c>
    </row>
    <row r="33" spans="1:3" x14ac:dyDescent="0.25">
      <c r="A33" t="s">
        <v>530</v>
      </c>
      <c r="B33">
        <v>4.66</v>
      </c>
    </row>
    <row r="34" spans="1:3" x14ac:dyDescent="0.25">
      <c r="A34" t="s">
        <v>531</v>
      </c>
      <c r="B34">
        <v>100</v>
      </c>
    </row>
    <row r="35" spans="1:3" x14ac:dyDescent="0.25">
      <c r="A35" t="s">
        <v>533</v>
      </c>
      <c r="B35">
        <v>12.39</v>
      </c>
    </row>
    <row r="36" spans="1:3" x14ac:dyDescent="0.25">
      <c r="A36" t="s">
        <v>534</v>
      </c>
      <c r="B36">
        <v>500</v>
      </c>
    </row>
    <row r="37" spans="1:3" x14ac:dyDescent="0.25">
      <c r="A37" t="s">
        <v>535</v>
      </c>
      <c r="B37">
        <v>19.98</v>
      </c>
    </row>
    <row r="38" spans="1:3" x14ac:dyDescent="0.25">
      <c r="A38" t="s">
        <v>536</v>
      </c>
      <c r="B38">
        <v>8.65</v>
      </c>
    </row>
    <row r="39" spans="1:3" x14ac:dyDescent="0.25">
      <c r="A39" t="s">
        <v>537</v>
      </c>
      <c r="B39">
        <v>0.2</v>
      </c>
    </row>
    <row r="40" spans="1:3" x14ac:dyDescent="0.25">
      <c r="A40" t="s">
        <v>520</v>
      </c>
      <c r="B40">
        <v>1.66</v>
      </c>
    </row>
    <row r="42" spans="1:3" x14ac:dyDescent="0.25">
      <c r="A42" t="s">
        <v>513</v>
      </c>
      <c r="B42" t="s">
        <v>514</v>
      </c>
      <c r="C42" t="s">
        <v>33</v>
      </c>
    </row>
    <row r="43" spans="1:3" x14ac:dyDescent="0.25">
      <c r="A43" t="s">
        <v>516</v>
      </c>
      <c r="B43">
        <v>89.89</v>
      </c>
    </row>
    <row r="44" spans="1:3" x14ac:dyDescent="0.25">
      <c r="A44" t="s">
        <v>525</v>
      </c>
      <c r="B44">
        <v>89.89</v>
      </c>
    </row>
    <row r="45" spans="1:3" x14ac:dyDescent="0.25">
      <c r="A45" t="s">
        <v>526</v>
      </c>
      <c r="B45">
        <v>90.62</v>
      </c>
    </row>
    <row r="46" spans="1:3" x14ac:dyDescent="0.25">
      <c r="A46" t="s">
        <v>527</v>
      </c>
      <c r="B46">
        <v>89.38</v>
      </c>
    </row>
    <row r="47" spans="1:3" x14ac:dyDescent="0.25">
      <c r="A47" t="s">
        <v>528</v>
      </c>
      <c r="B47" s="21" t="s">
        <v>596</v>
      </c>
    </row>
    <row r="48" spans="1:3" x14ac:dyDescent="0.25">
      <c r="A48" t="s">
        <v>529</v>
      </c>
      <c r="B48" t="s">
        <v>597</v>
      </c>
    </row>
    <row r="49" spans="1:3" x14ac:dyDescent="0.25">
      <c r="A49" t="s">
        <v>530</v>
      </c>
      <c r="B49">
        <v>88.67</v>
      </c>
    </row>
    <row r="50" spans="1:3" x14ac:dyDescent="0.25">
      <c r="A50" t="s">
        <v>531</v>
      </c>
      <c r="B50">
        <v>500</v>
      </c>
    </row>
    <row r="51" spans="1:3" x14ac:dyDescent="0.25">
      <c r="A51" t="s">
        <v>533</v>
      </c>
      <c r="B51">
        <v>92.75</v>
      </c>
    </row>
    <row r="52" spans="1:3" x14ac:dyDescent="0.25">
      <c r="A52" t="s">
        <v>534</v>
      </c>
      <c r="B52">
        <v>100</v>
      </c>
    </row>
    <row r="53" spans="1:3" x14ac:dyDescent="0.25">
      <c r="A53" t="s">
        <v>535</v>
      </c>
      <c r="B53">
        <v>92.75</v>
      </c>
    </row>
    <row r="54" spans="1:3" x14ac:dyDescent="0.25">
      <c r="A54" t="s">
        <v>536</v>
      </c>
      <c r="B54">
        <v>64.47</v>
      </c>
    </row>
    <row r="55" spans="1:3" x14ac:dyDescent="0.25">
      <c r="A55" t="s">
        <v>537</v>
      </c>
      <c r="B55">
        <v>2.2400000000000002</v>
      </c>
    </row>
    <row r="56" spans="1:3" x14ac:dyDescent="0.25">
      <c r="A56" t="s">
        <v>520</v>
      </c>
      <c r="B56">
        <v>2.4900000000000002</v>
      </c>
    </row>
    <row r="58" spans="1:3" x14ac:dyDescent="0.25">
      <c r="A58" t="s">
        <v>513</v>
      </c>
      <c r="B58" t="s">
        <v>514</v>
      </c>
      <c r="C58" t="s">
        <v>35</v>
      </c>
    </row>
    <row r="59" spans="1:3" x14ac:dyDescent="0.25">
      <c r="A59" t="s">
        <v>516</v>
      </c>
      <c r="B59">
        <v>14.37</v>
      </c>
    </row>
    <row r="60" spans="1:3" x14ac:dyDescent="0.25">
      <c r="A60" t="s">
        <v>525</v>
      </c>
      <c r="B60">
        <v>14.44</v>
      </c>
    </row>
    <row r="61" spans="1:3" x14ac:dyDescent="0.25">
      <c r="A61" t="s">
        <v>526</v>
      </c>
      <c r="B61">
        <v>14.66</v>
      </c>
    </row>
    <row r="62" spans="1:3" x14ac:dyDescent="0.25">
      <c r="A62" t="s">
        <v>527</v>
      </c>
      <c r="B62">
        <v>14.33</v>
      </c>
    </row>
    <row r="63" spans="1:3" x14ac:dyDescent="0.25">
      <c r="A63" t="s">
        <v>528</v>
      </c>
      <c r="B63" s="21" t="s">
        <v>577</v>
      </c>
    </row>
    <row r="64" spans="1:3" x14ac:dyDescent="0.25">
      <c r="A64" t="s">
        <v>529</v>
      </c>
      <c r="B64" t="s">
        <v>567</v>
      </c>
    </row>
    <row r="65" spans="1:3" x14ac:dyDescent="0.25">
      <c r="A65" t="s">
        <v>530</v>
      </c>
      <c r="B65">
        <v>11.85</v>
      </c>
    </row>
    <row r="66" spans="1:3" x14ac:dyDescent="0.25">
      <c r="A66" t="s">
        <v>531</v>
      </c>
      <c r="B66">
        <v>500</v>
      </c>
    </row>
    <row r="67" spans="1:3" x14ac:dyDescent="0.25">
      <c r="A67" t="s">
        <v>533</v>
      </c>
      <c r="B67">
        <v>14.64</v>
      </c>
    </row>
    <row r="68" spans="1:3" x14ac:dyDescent="0.25">
      <c r="A68" t="s">
        <v>534</v>
      </c>
      <c r="B68" s="21">
        <v>5000</v>
      </c>
    </row>
    <row r="69" spans="1:3" x14ac:dyDescent="0.25">
      <c r="A69" t="s">
        <v>535</v>
      </c>
      <c r="B69">
        <v>17.78</v>
      </c>
    </row>
    <row r="70" spans="1:3" x14ac:dyDescent="0.25">
      <c r="A70" t="s">
        <v>536</v>
      </c>
      <c r="B70">
        <v>10.42</v>
      </c>
    </row>
    <row r="71" spans="1:3" x14ac:dyDescent="0.25">
      <c r="A71" t="s">
        <v>537</v>
      </c>
      <c r="B71">
        <v>0.2</v>
      </c>
    </row>
    <row r="72" spans="1:3" x14ac:dyDescent="0.25">
      <c r="A72" t="s">
        <v>520</v>
      </c>
      <c r="B72">
        <v>1.39</v>
      </c>
    </row>
    <row r="74" spans="1:3" x14ac:dyDescent="0.25">
      <c r="A74" t="s">
        <v>513</v>
      </c>
      <c r="B74" t="s">
        <v>514</v>
      </c>
      <c r="C74" t="s">
        <v>37</v>
      </c>
    </row>
    <row r="75" spans="1:3" x14ac:dyDescent="0.25">
      <c r="A75" t="s">
        <v>516</v>
      </c>
      <c r="B75">
        <v>39.200000000000003</v>
      </c>
    </row>
    <row r="76" spans="1:3" x14ac:dyDescent="0.25">
      <c r="A76" t="s">
        <v>525</v>
      </c>
      <c r="B76">
        <v>39.25</v>
      </c>
    </row>
    <row r="77" spans="1:3" x14ac:dyDescent="0.25">
      <c r="A77" t="s">
        <v>526</v>
      </c>
      <c r="B77">
        <v>39.31</v>
      </c>
    </row>
    <row r="78" spans="1:3" x14ac:dyDescent="0.25">
      <c r="A78" t="s">
        <v>527</v>
      </c>
      <c r="B78">
        <v>39.01</v>
      </c>
    </row>
    <row r="79" spans="1:3" x14ac:dyDescent="0.25">
      <c r="A79" t="s">
        <v>528</v>
      </c>
      <c r="B79" t="s">
        <v>575</v>
      </c>
    </row>
    <row r="80" spans="1:3" x14ac:dyDescent="0.25">
      <c r="A80" t="s">
        <v>529</v>
      </c>
      <c r="B80" t="s">
        <v>576</v>
      </c>
    </row>
    <row r="81" spans="1:3" x14ac:dyDescent="0.25">
      <c r="A81" t="s">
        <v>530</v>
      </c>
      <c r="B81">
        <v>38.01</v>
      </c>
    </row>
    <row r="82" spans="1:3" x14ac:dyDescent="0.25">
      <c r="A82" t="s">
        <v>531</v>
      </c>
      <c r="B82">
        <v>200</v>
      </c>
    </row>
    <row r="83" spans="1:3" x14ac:dyDescent="0.25">
      <c r="A83" t="s">
        <v>533</v>
      </c>
      <c r="B83">
        <v>0</v>
      </c>
    </row>
    <row r="84" spans="1:3" x14ac:dyDescent="0.25">
      <c r="A84" t="s">
        <v>534</v>
      </c>
      <c r="B84" s="21" t="s">
        <v>532</v>
      </c>
    </row>
    <row r="85" spans="1:3" x14ac:dyDescent="0.25">
      <c r="A85" t="s">
        <v>535</v>
      </c>
      <c r="B85">
        <v>39.96</v>
      </c>
    </row>
    <row r="86" spans="1:3" x14ac:dyDescent="0.25">
      <c r="A86" t="s">
        <v>536</v>
      </c>
      <c r="B86">
        <v>31.29</v>
      </c>
    </row>
    <row r="87" spans="1:3" x14ac:dyDescent="0.25">
      <c r="A87" t="s">
        <v>537</v>
      </c>
      <c r="B87">
        <v>0.92</v>
      </c>
    </row>
    <row r="88" spans="1:3" x14ac:dyDescent="0.25">
      <c r="A88" t="s">
        <v>520</v>
      </c>
      <c r="B88">
        <v>2.35</v>
      </c>
    </row>
    <row r="90" spans="1:3" x14ac:dyDescent="0.25">
      <c r="A90" t="s">
        <v>513</v>
      </c>
      <c r="B90" t="s">
        <v>514</v>
      </c>
      <c r="C90" t="s">
        <v>39</v>
      </c>
    </row>
    <row r="91" spans="1:3" x14ac:dyDescent="0.25">
      <c r="A91" t="s">
        <v>516</v>
      </c>
      <c r="B91">
        <v>87.29</v>
      </c>
    </row>
    <row r="92" spans="1:3" x14ac:dyDescent="0.25">
      <c r="A92" t="s">
        <v>525</v>
      </c>
      <c r="B92">
        <v>87.42</v>
      </c>
    </row>
    <row r="93" spans="1:3" x14ac:dyDescent="0.25">
      <c r="A93" t="s">
        <v>526</v>
      </c>
      <c r="B93">
        <v>88.54</v>
      </c>
    </row>
    <row r="94" spans="1:3" x14ac:dyDescent="0.25">
      <c r="A94" t="s">
        <v>527</v>
      </c>
      <c r="B94">
        <v>86.97</v>
      </c>
    </row>
    <row r="95" spans="1:3" x14ac:dyDescent="0.25">
      <c r="A95" t="s">
        <v>528</v>
      </c>
      <c r="B95" s="21">
        <v>749100</v>
      </c>
    </row>
    <row r="96" spans="1:3" x14ac:dyDescent="0.25">
      <c r="A96" t="s">
        <v>529</v>
      </c>
      <c r="B96" s="22">
        <v>788086.84</v>
      </c>
    </row>
    <row r="97" spans="1:3" x14ac:dyDescent="0.25">
      <c r="A97" t="s">
        <v>530</v>
      </c>
      <c r="B97">
        <v>86.51</v>
      </c>
    </row>
    <row r="98" spans="1:3" x14ac:dyDescent="0.25">
      <c r="A98" t="s">
        <v>531</v>
      </c>
      <c r="B98">
        <v>200</v>
      </c>
    </row>
    <row r="99" spans="1:3" x14ac:dyDescent="0.25">
      <c r="A99" t="s">
        <v>533</v>
      </c>
      <c r="B99">
        <v>0</v>
      </c>
    </row>
    <row r="100" spans="1:3" x14ac:dyDescent="0.25">
      <c r="A100" t="s">
        <v>534</v>
      </c>
      <c r="B100" t="s">
        <v>532</v>
      </c>
    </row>
    <row r="101" spans="1:3" x14ac:dyDescent="0.25">
      <c r="A101" t="s">
        <v>535</v>
      </c>
      <c r="B101">
        <v>91.91</v>
      </c>
    </row>
    <row r="102" spans="1:3" x14ac:dyDescent="0.25">
      <c r="A102" t="s">
        <v>536</v>
      </c>
      <c r="B102">
        <v>76.19</v>
      </c>
    </row>
    <row r="103" spans="1:3" x14ac:dyDescent="0.25">
      <c r="A103" t="s">
        <v>537</v>
      </c>
      <c r="B103">
        <v>2.92</v>
      </c>
    </row>
    <row r="104" spans="1:3" x14ac:dyDescent="0.25">
      <c r="A104" t="s">
        <v>520</v>
      </c>
      <c r="B104">
        <v>3.35</v>
      </c>
    </row>
    <row r="106" spans="1:3" x14ac:dyDescent="0.25">
      <c r="A106" t="s">
        <v>513</v>
      </c>
      <c r="B106" t="s">
        <v>514</v>
      </c>
      <c r="C106" t="s">
        <v>41</v>
      </c>
    </row>
    <row r="107" spans="1:3" x14ac:dyDescent="0.25">
      <c r="A107" t="s">
        <v>516</v>
      </c>
      <c r="B107">
        <v>46.95</v>
      </c>
    </row>
    <row r="108" spans="1:3" x14ac:dyDescent="0.25">
      <c r="A108" t="s">
        <v>525</v>
      </c>
      <c r="B108">
        <v>47.19</v>
      </c>
    </row>
    <row r="109" spans="1:3" x14ac:dyDescent="0.25">
      <c r="A109" t="s">
        <v>526</v>
      </c>
      <c r="B109">
        <v>48.14</v>
      </c>
    </row>
    <row r="110" spans="1:3" x14ac:dyDescent="0.25">
      <c r="A110" t="s">
        <v>527</v>
      </c>
      <c r="B110">
        <v>47</v>
      </c>
    </row>
    <row r="111" spans="1:3" x14ac:dyDescent="0.25">
      <c r="A111" t="s">
        <v>528</v>
      </c>
      <c r="B111" s="21">
        <v>20114</v>
      </c>
    </row>
    <row r="112" spans="1:3" x14ac:dyDescent="0.25">
      <c r="A112" t="s">
        <v>529</v>
      </c>
      <c r="B112" s="22">
        <v>27577.09</v>
      </c>
    </row>
    <row r="113" spans="1:3" x14ac:dyDescent="0.25">
      <c r="A113" t="s">
        <v>530</v>
      </c>
      <c r="B113">
        <v>0</v>
      </c>
    </row>
    <row r="114" spans="1:3" x14ac:dyDescent="0.25">
      <c r="A114" t="s">
        <v>531</v>
      </c>
      <c r="B114">
        <v>100</v>
      </c>
    </row>
    <row r="115" spans="1:3" x14ac:dyDescent="0.25">
      <c r="A115" t="s">
        <v>533</v>
      </c>
      <c r="B115">
        <v>47.33</v>
      </c>
    </row>
    <row r="116" spans="1:3" x14ac:dyDescent="0.25">
      <c r="A116" t="s">
        <v>534</v>
      </c>
      <c r="B116">
        <v>100</v>
      </c>
    </row>
    <row r="117" spans="1:3" x14ac:dyDescent="0.25">
      <c r="A117" t="s">
        <v>535</v>
      </c>
      <c r="B117">
        <v>49.82</v>
      </c>
    </row>
    <row r="118" spans="1:3" x14ac:dyDescent="0.25">
      <c r="A118" t="s">
        <v>536</v>
      </c>
      <c r="B118">
        <v>41.04</v>
      </c>
    </row>
    <row r="119" spans="1:3" x14ac:dyDescent="0.25">
      <c r="A119" t="s">
        <v>537</v>
      </c>
      <c r="B119">
        <v>1.44</v>
      </c>
    </row>
    <row r="120" spans="1:3" x14ac:dyDescent="0.25">
      <c r="A120" t="s">
        <v>520</v>
      </c>
      <c r="B120">
        <v>3.07</v>
      </c>
    </row>
    <row r="122" spans="1:3" x14ac:dyDescent="0.25">
      <c r="A122" t="s">
        <v>513</v>
      </c>
      <c r="B122" t="s">
        <v>514</v>
      </c>
      <c r="C122" t="s">
        <v>43</v>
      </c>
    </row>
    <row r="123" spans="1:3" x14ac:dyDescent="0.25">
      <c r="A123" t="s">
        <v>515</v>
      </c>
    </row>
    <row r="124" spans="1:3" x14ac:dyDescent="0.25">
      <c r="A124" t="s">
        <v>516</v>
      </c>
      <c r="B124">
        <v>21.3</v>
      </c>
    </row>
    <row r="125" spans="1:3" x14ac:dyDescent="0.25">
      <c r="A125" t="s">
        <v>517</v>
      </c>
      <c r="B125" t="s">
        <v>541</v>
      </c>
    </row>
    <row r="126" spans="1:3" x14ac:dyDescent="0.25">
      <c r="A126" t="s">
        <v>519</v>
      </c>
      <c r="B126" t="s">
        <v>627</v>
      </c>
    </row>
    <row r="127" spans="1:3" x14ac:dyDescent="0.25">
      <c r="A127" t="s">
        <v>520</v>
      </c>
      <c r="B127" s="12">
        <v>3.7900000000000003E-2</v>
      </c>
    </row>
    <row r="128" spans="1:3" x14ac:dyDescent="0.25">
      <c r="A128" t="s">
        <v>521</v>
      </c>
      <c r="B128" t="s">
        <v>542</v>
      </c>
    </row>
    <row r="129" spans="1:3" x14ac:dyDescent="0.25">
      <c r="A129" t="s">
        <v>523</v>
      </c>
      <c r="B129" t="s">
        <v>542</v>
      </c>
    </row>
    <row r="131" spans="1:3" x14ac:dyDescent="0.25">
      <c r="A131" t="s">
        <v>513</v>
      </c>
      <c r="B131" t="s">
        <v>514</v>
      </c>
      <c r="C131" t="s">
        <v>45</v>
      </c>
    </row>
    <row r="132" spans="1:3" x14ac:dyDescent="0.25">
      <c r="A132" t="s">
        <v>516</v>
      </c>
      <c r="B132">
        <v>37.22</v>
      </c>
    </row>
    <row r="133" spans="1:3" x14ac:dyDescent="0.25">
      <c r="A133" t="s">
        <v>525</v>
      </c>
      <c r="B133">
        <v>37.44</v>
      </c>
    </row>
    <row r="134" spans="1:3" x14ac:dyDescent="0.25">
      <c r="A134" t="s">
        <v>526</v>
      </c>
      <c r="B134">
        <v>37.450000000000003</v>
      </c>
    </row>
    <row r="135" spans="1:3" x14ac:dyDescent="0.25">
      <c r="A135" t="s">
        <v>527</v>
      </c>
      <c r="B135">
        <v>36.619999999999997</v>
      </c>
    </row>
    <row r="136" spans="1:3" x14ac:dyDescent="0.25">
      <c r="A136" t="s">
        <v>528</v>
      </c>
      <c r="B136" t="s">
        <v>594</v>
      </c>
    </row>
    <row r="137" spans="1:3" x14ac:dyDescent="0.25">
      <c r="A137" t="s">
        <v>529</v>
      </c>
      <c r="B137" t="s">
        <v>595</v>
      </c>
    </row>
    <row r="138" spans="1:3" x14ac:dyDescent="0.25">
      <c r="A138" t="s">
        <v>530</v>
      </c>
      <c r="B138">
        <v>0</v>
      </c>
    </row>
    <row r="139" spans="1:3" x14ac:dyDescent="0.25">
      <c r="A139" t="s">
        <v>531</v>
      </c>
      <c r="B139" t="s">
        <v>532</v>
      </c>
    </row>
    <row r="140" spans="1:3" x14ac:dyDescent="0.25">
      <c r="A140" t="s">
        <v>533</v>
      </c>
      <c r="B140">
        <v>0</v>
      </c>
    </row>
    <row r="141" spans="1:3" x14ac:dyDescent="0.25">
      <c r="A141" t="s">
        <v>534</v>
      </c>
      <c r="B141" t="s">
        <v>532</v>
      </c>
    </row>
    <row r="142" spans="1:3" x14ac:dyDescent="0.25">
      <c r="A142" t="s">
        <v>535</v>
      </c>
      <c r="B142">
        <v>38.979999999999997</v>
      </c>
    </row>
    <row r="143" spans="1:3" x14ac:dyDescent="0.25">
      <c r="A143" t="s">
        <v>536</v>
      </c>
      <c r="B143">
        <v>26.28</v>
      </c>
    </row>
    <row r="144" spans="1:3" x14ac:dyDescent="0.25">
      <c r="A144" t="s">
        <v>537</v>
      </c>
      <c r="B144">
        <v>1.1200000000000001</v>
      </c>
    </row>
    <row r="145" spans="1:3" x14ac:dyDescent="0.25">
      <c r="A145" t="s">
        <v>520</v>
      </c>
      <c r="B145">
        <v>3.01</v>
      </c>
    </row>
    <row r="147" spans="1:3" x14ac:dyDescent="0.25">
      <c r="A147" t="s">
        <v>513</v>
      </c>
      <c r="B147" t="s">
        <v>514</v>
      </c>
      <c r="C147" t="s">
        <v>47</v>
      </c>
    </row>
    <row r="148" spans="1:3" x14ac:dyDescent="0.25">
      <c r="A148" t="s">
        <v>516</v>
      </c>
      <c r="B148">
        <v>156.75</v>
      </c>
    </row>
    <row r="149" spans="1:3" x14ac:dyDescent="0.25">
      <c r="A149" t="s">
        <v>525</v>
      </c>
      <c r="B149">
        <v>157.56</v>
      </c>
    </row>
    <row r="150" spans="1:3" x14ac:dyDescent="0.25">
      <c r="A150" t="s">
        <v>526</v>
      </c>
      <c r="B150">
        <v>157.96</v>
      </c>
    </row>
    <row r="151" spans="1:3" x14ac:dyDescent="0.25">
      <c r="A151" t="s">
        <v>527</v>
      </c>
      <c r="B151">
        <v>156.03</v>
      </c>
    </row>
    <row r="152" spans="1:3" x14ac:dyDescent="0.25">
      <c r="A152" t="s">
        <v>528</v>
      </c>
      <c r="B152" s="21" t="s">
        <v>568</v>
      </c>
    </row>
    <row r="153" spans="1:3" x14ac:dyDescent="0.25">
      <c r="A153" t="s">
        <v>529</v>
      </c>
      <c r="B153" t="s">
        <v>618</v>
      </c>
    </row>
    <row r="154" spans="1:3" x14ac:dyDescent="0.25">
      <c r="A154" t="s">
        <v>530</v>
      </c>
      <c r="B154">
        <v>152.76</v>
      </c>
    </row>
    <row r="155" spans="1:3" x14ac:dyDescent="0.25">
      <c r="A155" t="s">
        <v>531</v>
      </c>
      <c r="B155">
        <v>100</v>
      </c>
    </row>
    <row r="156" spans="1:3" x14ac:dyDescent="0.25">
      <c r="A156" t="s">
        <v>533</v>
      </c>
      <c r="B156">
        <v>162</v>
      </c>
    </row>
    <row r="157" spans="1:3" x14ac:dyDescent="0.25">
      <c r="A157" t="s">
        <v>534</v>
      </c>
      <c r="B157">
        <v>100</v>
      </c>
    </row>
    <row r="158" spans="1:3" x14ac:dyDescent="0.25">
      <c r="A158" t="s">
        <v>535</v>
      </c>
      <c r="B158">
        <v>166.57</v>
      </c>
    </row>
    <row r="159" spans="1:3" x14ac:dyDescent="0.25">
      <c r="A159" t="s">
        <v>536</v>
      </c>
      <c r="B159">
        <v>95.47</v>
      </c>
    </row>
    <row r="160" spans="1:3" x14ac:dyDescent="0.25">
      <c r="A160" t="s">
        <v>537</v>
      </c>
      <c r="B160">
        <v>0.96</v>
      </c>
    </row>
    <row r="161" spans="1:3" x14ac:dyDescent="0.25">
      <c r="A161" t="s">
        <v>520</v>
      </c>
      <c r="B161">
        <v>0.61</v>
      </c>
    </row>
    <row r="163" spans="1:3" x14ac:dyDescent="0.25">
      <c r="A163" t="s">
        <v>513</v>
      </c>
      <c r="B163" t="s">
        <v>514</v>
      </c>
      <c r="C163" t="s">
        <v>53</v>
      </c>
    </row>
    <row r="164" spans="1:3" x14ac:dyDescent="0.25">
      <c r="A164" t="s">
        <v>516</v>
      </c>
      <c r="B164">
        <v>76.95</v>
      </c>
    </row>
    <row r="165" spans="1:3" x14ac:dyDescent="0.25">
      <c r="A165" t="s">
        <v>525</v>
      </c>
      <c r="B165">
        <v>76.87</v>
      </c>
    </row>
    <row r="166" spans="1:3" x14ac:dyDescent="0.25">
      <c r="A166" t="s">
        <v>526</v>
      </c>
      <c r="B166">
        <v>77.09</v>
      </c>
    </row>
    <row r="167" spans="1:3" x14ac:dyDescent="0.25">
      <c r="A167" t="s">
        <v>527</v>
      </c>
      <c r="B167">
        <v>76.62</v>
      </c>
    </row>
    <row r="168" spans="1:3" x14ac:dyDescent="0.25">
      <c r="A168" t="s">
        <v>528</v>
      </c>
      <c r="B168" s="21">
        <v>26739</v>
      </c>
    </row>
    <row r="169" spans="1:3" x14ac:dyDescent="0.25">
      <c r="A169" t="s">
        <v>529</v>
      </c>
      <c r="B169" s="22">
        <v>16305.27</v>
      </c>
    </row>
    <row r="170" spans="1:3" x14ac:dyDescent="0.25">
      <c r="A170" t="s">
        <v>530</v>
      </c>
      <c r="B170">
        <v>67.78</v>
      </c>
    </row>
    <row r="171" spans="1:3" x14ac:dyDescent="0.25">
      <c r="A171" t="s">
        <v>531</v>
      </c>
      <c r="B171">
        <v>500</v>
      </c>
    </row>
    <row r="172" spans="1:3" x14ac:dyDescent="0.25">
      <c r="A172" t="s">
        <v>533</v>
      </c>
      <c r="B172">
        <v>77.19</v>
      </c>
    </row>
    <row r="173" spans="1:3" x14ac:dyDescent="0.25">
      <c r="A173" t="s">
        <v>534</v>
      </c>
      <c r="B173">
        <v>800</v>
      </c>
    </row>
    <row r="174" spans="1:3" x14ac:dyDescent="0.25">
      <c r="A174" t="s">
        <v>535</v>
      </c>
      <c r="B174">
        <v>80.680000000000007</v>
      </c>
    </row>
    <row r="175" spans="1:3" x14ac:dyDescent="0.25">
      <c r="A175" t="s">
        <v>536</v>
      </c>
      <c r="B175">
        <v>67.319999999999993</v>
      </c>
    </row>
    <row r="176" spans="1:3" x14ac:dyDescent="0.25">
      <c r="A176" t="s">
        <v>537</v>
      </c>
      <c r="B176" t="s">
        <v>532</v>
      </c>
    </row>
    <row r="177" spans="1:3" x14ac:dyDescent="0.25">
      <c r="A177" t="s">
        <v>520</v>
      </c>
      <c r="B177">
        <v>1.3</v>
      </c>
    </row>
    <row r="179" spans="1:3" x14ac:dyDescent="0.25">
      <c r="A179" t="s">
        <v>513</v>
      </c>
      <c r="B179" t="s">
        <v>514</v>
      </c>
      <c r="C179" t="s">
        <v>57</v>
      </c>
    </row>
    <row r="180" spans="1:3" x14ac:dyDescent="0.25">
      <c r="A180" t="s">
        <v>516</v>
      </c>
      <c r="B180">
        <v>13.88</v>
      </c>
    </row>
    <row r="181" spans="1:3" x14ac:dyDescent="0.25">
      <c r="A181" t="s">
        <v>525</v>
      </c>
      <c r="B181">
        <v>13.92</v>
      </c>
    </row>
    <row r="182" spans="1:3" x14ac:dyDescent="0.25">
      <c r="A182" t="s">
        <v>526</v>
      </c>
      <c r="B182">
        <v>14.21</v>
      </c>
    </row>
    <row r="183" spans="1:3" x14ac:dyDescent="0.25">
      <c r="A183" t="s">
        <v>527</v>
      </c>
      <c r="B183">
        <v>13.86</v>
      </c>
    </row>
    <row r="184" spans="1:3" x14ac:dyDescent="0.25">
      <c r="A184" t="s">
        <v>528</v>
      </c>
      <c r="B184" s="21">
        <v>91369</v>
      </c>
    </row>
    <row r="185" spans="1:3" x14ac:dyDescent="0.25">
      <c r="A185" t="s">
        <v>529</v>
      </c>
      <c r="B185" s="22">
        <v>70025.34</v>
      </c>
    </row>
    <row r="186" spans="1:3" x14ac:dyDescent="0.25">
      <c r="A186" t="s">
        <v>530</v>
      </c>
      <c r="B186">
        <v>0</v>
      </c>
    </row>
    <row r="187" spans="1:3" x14ac:dyDescent="0.25">
      <c r="A187" t="s">
        <v>531</v>
      </c>
      <c r="B187">
        <v>100</v>
      </c>
    </row>
    <row r="188" spans="1:3" x14ac:dyDescent="0.25">
      <c r="A188" t="s">
        <v>533</v>
      </c>
      <c r="B188">
        <v>15.5</v>
      </c>
    </row>
    <row r="189" spans="1:3" x14ac:dyDescent="0.25">
      <c r="A189" t="s">
        <v>534</v>
      </c>
      <c r="B189">
        <v>100</v>
      </c>
    </row>
    <row r="190" spans="1:3" x14ac:dyDescent="0.25">
      <c r="A190" t="s">
        <v>535</v>
      </c>
      <c r="B190">
        <v>14.57</v>
      </c>
    </row>
    <row r="191" spans="1:3" x14ac:dyDescent="0.25">
      <c r="A191" t="s">
        <v>536</v>
      </c>
      <c r="B191">
        <v>11.68</v>
      </c>
    </row>
    <row r="192" spans="1:3" x14ac:dyDescent="0.25">
      <c r="A192" t="s">
        <v>537</v>
      </c>
      <c r="B192">
        <v>0.54</v>
      </c>
    </row>
    <row r="193" spans="1:3" x14ac:dyDescent="0.25">
      <c r="A193" t="s">
        <v>520</v>
      </c>
      <c r="B193">
        <v>3.87</v>
      </c>
    </row>
    <row r="195" spans="1:3" x14ac:dyDescent="0.25">
      <c r="A195" t="s">
        <v>513</v>
      </c>
      <c r="B195" t="s">
        <v>514</v>
      </c>
      <c r="C195" t="s">
        <v>67</v>
      </c>
    </row>
    <row r="196" spans="1:3" x14ac:dyDescent="0.25">
      <c r="A196" t="s">
        <v>516</v>
      </c>
      <c r="B196">
        <v>40.590000000000003</v>
      </c>
    </row>
    <row r="197" spans="1:3" x14ac:dyDescent="0.25">
      <c r="A197" t="s">
        <v>525</v>
      </c>
      <c r="B197">
        <v>40.659999999999997</v>
      </c>
    </row>
    <row r="198" spans="1:3" x14ac:dyDescent="0.25">
      <c r="A198" t="s">
        <v>526</v>
      </c>
      <c r="B198">
        <v>40.74</v>
      </c>
    </row>
    <row r="199" spans="1:3" x14ac:dyDescent="0.25">
      <c r="A199" t="s">
        <v>527</v>
      </c>
      <c r="B199">
        <v>40.299999999999997</v>
      </c>
    </row>
    <row r="200" spans="1:3" x14ac:dyDescent="0.25">
      <c r="A200" t="s">
        <v>528</v>
      </c>
      <c r="B200" s="21">
        <v>167423</v>
      </c>
    </row>
    <row r="201" spans="1:3" x14ac:dyDescent="0.25">
      <c r="A201" t="s">
        <v>529</v>
      </c>
      <c r="B201" s="22">
        <v>285473.73</v>
      </c>
    </row>
    <row r="202" spans="1:3" x14ac:dyDescent="0.25">
      <c r="A202" t="s">
        <v>530</v>
      </c>
      <c r="B202">
        <v>0</v>
      </c>
    </row>
    <row r="203" spans="1:3" x14ac:dyDescent="0.25">
      <c r="A203" t="s">
        <v>531</v>
      </c>
      <c r="B203">
        <v>100</v>
      </c>
    </row>
    <row r="204" spans="1:3" x14ac:dyDescent="0.25">
      <c r="A204" t="s">
        <v>533</v>
      </c>
      <c r="B204">
        <v>0</v>
      </c>
    </row>
    <row r="205" spans="1:3" x14ac:dyDescent="0.25">
      <c r="A205" t="s">
        <v>534</v>
      </c>
      <c r="B205">
        <v>100</v>
      </c>
    </row>
    <row r="206" spans="1:3" x14ac:dyDescent="0.25">
      <c r="A206" t="s">
        <v>535</v>
      </c>
      <c r="B206">
        <v>42.96</v>
      </c>
    </row>
    <row r="207" spans="1:3" x14ac:dyDescent="0.25">
      <c r="A207" t="s">
        <v>536</v>
      </c>
      <c r="B207">
        <v>33.65</v>
      </c>
    </row>
    <row r="208" spans="1:3" x14ac:dyDescent="0.25">
      <c r="A208" t="s">
        <v>537</v>
      </c>
      <c r="B208">
        <v>0.62</v>
      </c>
    </row>
    <row r="209" spans="1:3" x14ac:dyDescent="0.25">
      <c r="A209" t="s">
        <v>520</v>
      </c>
      <c r="B209">
        <v>1.53</v>
      </c>
    </row>
    <row r="211" spans="1:3" x14ac:dyDescent="0.25">
      <c r="A211" t="s">
        <v>513</v>
      </c>
      <c r="B211" t="s">
        <v>514</v>
      </c>
      <c r="C211" t="s">
        <v>55</v>
      </c>
    </row>
    <row r="212" spans="1:3" x14ac:dyDescent="0.25">
      <c r="A212" t="s">
        <v>516</v>
      </c>
      <c r="B212">
        <v>20.64</v>
      </c>
    </row>
    <row r="213" spans="1:3" x14ac:dyDescent="0.25">
      <c r="A213" t="s">
        <v>525</v>
      </c>
      <c r="B213">
        <v>20.79</v>
      </c>
    </row>
    <row r="214" spans="1:3" x14ac:dyDescent="0.25">
      <c r="A214" t="s">
        <v>526</v>
      </c>
      <c r="B214">
        <v>20.87</v>
      </c>
    </row>
    <row r="215" spans="1:3" x14ac:dyDescent="0.25">
      <c r="A215" t="s">
        <v>527</v>
      </c>
      <c r="B215">
        <v>20.58</v>
      </c>
    </row>
    <row r="216" spans="1:3" x14ac:dyDescent="0.25">
      <c r="A216" t="s">
        <v>528</v>
      </c>
      <c r="B216" t="s">
        <v>609</v>
      </c>
    </row>
    <row r="217" spans="1:3" x14ac:dyDescent="0.25">
      <c r="A217" t="s">
        <v>529</v>
      </c>
      <c r="B217" t="s">
        <v>610</v>
      </c>
    </row>
    <row r="218" spans="1:3" x14ac:dyDescent="0.25">
      <c r="A218" t="s">
        <v>530</v>
      </c>
      <c r="B218">
        <v>16.14</v>
      </c>
    </row>
    <row r="219" spans="1:3" x14ac:dyDescent="0.25">
      <c r="A219" t="s">
        <v>531</v>
      </c>
      <c r="B219">
        <v>100</v>
      </c>
    </row>
    <row r="220" spans="1:3" x14ac:dyDescent="0.25">
      <c r="A220" t="s">
        <v>533</v>
      </c>
      <c r="B220">
        <v>22.56</v>
      </c>
    </row>
    <row r="221" spans="1:3" x14ac:dyDescent="0.25">
      <c r="A221" t="s">
        <v>534</v>
      </c>
      <c r="B221" s="21">
        <v>1100</v>
      </c>
    </row>
    <row r="222" spans="1:3" x14ac:dyDescent="0.25">
      <c r="A222" t="s">
        <v>535</v>
      </c>
      <c r="B222">
        <v>22.98</v>
      </c>
    </row>
    <row r="223" spans="1:3" x14ac:dyDescent="0.25">
      <c r="A223" t="s">
        <v>536</v>
      </c>
      <c r="B223">
        <v>15.62</v>
      </c>
    </row>
    <row r="224" spans="1:3" x14ac:dyDescent="0.25">
      <c r="A224" t="s">
        <v>537</v>
      </c>
      <c r="B224" t="s">
        <v>532</v>
      </c>
    </row>
    <row r="225" spans="1:3" x14ac:dyDescent="0.25">
      <c r="A225" t="s">
        <v>520</v>
      </c>
      <c r="B225" t="s">
        <v>532</v>
      </c>
    </row>
    <row r="227" spans="1:3" x14ac:dyDescent="0.25">
      <c r="A227" t="s">
        <v>513</v>
      </c>
      <c r="B227" t="s">
        <v>514</v>
      </c>
      <c r="C227" t="s">
        <v>69</v>
      </c>
    </row>
    <row r="228" spans="1:3" x14ac:dyDescent="0.25">
      <c r="A228" t="s">
        <v>516</v>
      </c>
      <c r="B228">
        <v>49.61</v>
      </c>
    </row>
    <row r="229" spans="1:3" x14ac:dyDescent="0.25">
      <c r="A229" t="s">
        <v>525</v>
      </c>
      <c r="B229">
        <v>49.8</v>
      </c>
    </row>
    <row r="230" spans="1:3" x14ac:dyDescent="0.25">
      <c r="A230" t="s">
        <v>526</v>
      </c>
      <c r="B230">
        <v>50.27</v>
      </c>
    </row>
    <row r="231" spans="1:3" x14ac:dyDescent="0.25">
      <c r="A231" t="s">
        <v>527</v>
      </c>
      <c r="B231">
        <v>49.66</v>
      </c>
    </row>
    <row r="232" spans="1:3" x14ac:dyDescent="0.25">
      <c r="A232" t="s">
        <v>528</v>
      </c>
      <c r="B232" s="21">
        <v>668327</v>
      </c>
    </row>
    <row r="233" spans="1:3" x14ac:dyDescent="0.25">
      <c r="A233" t="s">
        <v>529</v>
      </c>
      <c r="B233" t="s">
        <v>573</v>
      </c>
    </row>
    <row r="234" spans="1:3" x14ac:dyDescent="0.25">
      <c r="A234" t="s">
        <v>530</v>
      </c>
      <c r="B234">
        <v>49</v>
      </c>
    </row>
    <row r="235" spans="1:3" x14ac:dyDescent="0.25">
      <c r="A235" t="s">
        <v>531</v>
      </c>
      <c r="B235">
        <v>100</v>
      </c>
    </row>
    <row r="236" spans="1:3" x14ac:dyDescent="0.25">
      <c r="A236" t="s">
        <v>533</v>
      </c>
      <c r="B236">
        <v>62</v>
      </c>
    </row>
    <row r="237" spans="1:3" x14ac:dyDescent="0.25">
      <c r="A237" t="s">
        <v>534</v>
      </c>
      <c r="B237" s="21">
        <v>100</v>
      </c>
    </row>
    <row r="238" spans="1:3" x14ac:dyDescent="0.25">
      <c r="A238" t="s">
        <v>535</v>
      </c>
      <c r="B238">
        <v>54.49</v>
      </c>
    </row>
    <row r="239" spans="1:3" x14ac:dyDescent="0.25">
      <c r="A239" t="s">
        <v>536</v>
      </c>
      <c r="B239">
        <v>38.28</v>
      </c>
    </row>
    <row r="240" spans="1:3" x14ac:dyDescent="0.25">
      <c r="A240" t="s">
        <v>537</v>
      </c>
      <c r="B240" t="s">
        <v>532</v>
      </c>
    </row>
    <row r="241" spans="1:3" x14ac:dyDescent="0.25">
      <c r="A241" t="s">
        <v>520</v>
      </c>
      <c r="B241" t="s">
        <v>532</v>
      </c>
    </row>
    <row r="243" spans="1:3" x14ac:dyDescent="0.25">
      <c r="A243" t="s">
        <v>513</v>
      </c>
      <c r="B243" t="s">
        <v>514</v>
      </c>
      <c r="C243" t="s">
        <v>73</v>
      </c>
    </row>
    <row r="244" spans="1:3" x14ac:dyDescent="0.25">
      <c r="A244" t="s">
        <v>516</v>
      </c>
      <c r="B244">
        <v>50.91</v>
      </c>
    </row>
    <row r="245" spans="1:3" x14ac:dyDescent="0.25">
      <c r="A245" t="s">
        <v>525</v>
      </c>
      <c r="B245">
        <v>50.98</v>
      </c>
    </row>
    <row r="246" spans="1:3" x14ac:dyDescent="0.25">
      <c r="A246" t="s">
        <v>526</v>
      </c>
      <c r="B246">
        <v>51.19</v>
      </c>
    </row>
    <row r="247" spans="1:3" x14ac:dyDescent="0.25">
      <c r="A247" t="s">
        <v>527</v>
      </c>
      <c r="B247">
        <v>50.68</v>
      </c>
    </row>
    <row r="248" spans="1:3" x14ac:dyDescent="0.25">
      <c r="A248" t="s">
        <v>528</v>
      </c>
      <c r="B248" t="s">
        <v>601</v>
      </c>
    </row>
    <row r="249" spans="1:3" x14ac:dyDescent="0.25">
      <c r="A249" t="s">
        <v>529</v>
      </c>
      <c r="B249" t="s">
        <v>602</v>
      </c>
    </row>
    <row r="250" spans="1:3" x14ac:dyDescent="0.25">
      <c r="A250" t="s">
        <v>530</v>
      </c>
      <c r="B250">
        <v>50.95</v>
      </c>
    </row>
    <row r="251" spans="1:3" x14ac:dyDescent="0.25">
      <c r="A251" t="s">
        <v>531</v>
      </c>
      <c r="B251">
        <v>200</v>
      </c>
    </row>
    <row r="252" spans="1:3" x14ac:dyDescent="0.25">
      <c r="A252" t="s">
        <v>533</v>
      </c>
      <c r="B252">
        <v>51.01</v>
      </c>
    </row>
    <row r="253" spans="1:3" x14ac:dyDescent="0.25">
      <c r="A253" t="s">
        <v>534</v>
      </c>
      <c r="B253" s="21">
        <v>300</v>
      </c>
    </row>
    <row r="254" spans="1:3" x14ac:dyDescent="0.25">
      <c r="A254" t="s">
        <v>535</v>
      </c>
      <c r="B254">
        <v>53.68</v>
      </c>
    </row>
    <row r="255" spans="1:3" x14ac:dyDescent="0.25">
      <c r="A255" t="s">
        <v>536</v>
      </c>
      <c r="B255">
        <v>37.130000000000003</v>
      </c>
    </row>
    <row r="256" spans="1:3" x14ac:dyDescent="0.25">
      <c r="A256" t="s">
        <v>537</v>
      </c>
      <c r="B256">
        <v>0.04</v>
      </c>
    </row>
    <row r="257" spans="1:3" x14ac:dyDescent="0.25">
      <c r="A257" t="s">
        <v>520</v>
      </c>
      <c r="B257">
        <v>0.08</v>
      </c>
    </row>
    <row r="259" spans="1:3" x14ac:dyDescent="0.25">
      <c r="A259" t="s">
        <v>513</v>
      </c>
      <c r="B259" t="s">
        <v>514</v>
      </c>
      <c r="C259" t="s">
        <v>98</v>
      </c>
    </row>
    <row r="260" spans="1:3" x14ac:dyDescent="0.25">
      <c r="A260" t="s">
        <v>516</v>
      </c>
      <c r="B260">
        <v>61.2</v>
      </c>
    </row>
    <row r="261" spans="1:3" x14ac:dyDescent="0.25">
      <c r="A261" t="s">
        <v>525</v>
      </c>
      <c r="B261">
        <v>61.18</v>
      </c>
    </row>
    <row r="262" spans="1:3" x14ac:dyDescent="0.25">
      <c r="A262" t="s">
        <v>526</v>
      </c>
      <c r="B262">
        <v>61.99</v>
      </c>
    </row>
    <row r="263" spans="1:3" x14ac:dyDescent="0.25">
      <c r="A263" t="s">
        <v>527</v>
      </c>
      <c r="B263">
        <v>61.03</v>
      </c>
    </row>
    <row r="264" spans="1:3" x14ac:dyDescent="0.25">
      <c r="A264" t="s">
        <v>528</v>
      </c>
      <c r="B264" s="21">
        <v>779014</v>
      </c>
    </row>
    <row r="265" spans="1:3" x14ac:dyDescent="0.25">
      <c r="A265" t="s">
        <v>529</v>
      </c>
      <c r="B265" t="s">
        <v>574</v>
      </c>
    </row>
    <row r="266" spans="1:3" x14ac:dyDescent="0.25">
      <c r="A266" t="s">
        <v>530</v>
      </c>
      <c r="B266">
        <v>60.61</v>
      </c>
    </row>
    <row r="267" spans="1:3" x14ac:dyDescent="0.25">
      <c r="A267" t="s">
        <v>531</v>
      </c>
      <c r="B267">
        <v>200</v>
      </c>
    </row>
    <row r="268" spans="1:3" x14ac:dyDescent="0.25">
      <c r="A268" t="s">
        <v>533</v>
      </c>
      <c r="B268">
        <v>62.28</v>
      </c>
    </row>
    <row r="269" spans="1:3" x14ac:dyDescent="0.25">
      <c r="A269" t="s">
        <v>534</v>
      </c>
      <c r="B269">
        <v>200</v>
      </c>
    </row>
    <row r="270" spans="1:3" x14ac:dyDescent="0.25">
      <c r="A270" t="s">
        <v>535</v>
      </c>
      <c r="B270">
        <v>65.59</v>
      </c>
    </row>
    <row r="271" spans="1:3" x14ac:dyDescent="0.25">
      <c r="A271" t="s">
        <v>536</v>
      </c>
      <c r="B271">
        <v>48.66</v>
      </c>
    </row>
    <row r="272" spans="1:3" x14ac:dyDescent="0.25">
      <c r="A272" t="s">
        <v>537</v>
      </c>
      <c r="B272">
        <v>2.76</v>
      </c>
    </row>
    <row r="273" spans="1:3" x14ac:dyDescent="0.25">
      <c r="A273" t="s">
        <v>520</v>
      </c>
      <c r="B273">
        <v>4.51</v>
      </c>
    </row>
    <row r="275" spans="1:3" x14ac:dyDescent="0.25">
      <c r="A275" t="s">
        <v>513</v>
      </c>
      <c r="B275" t="s">
        <v>514</v>
      </c>
      <c r="C275" t="s">
        <v>76</v>
      </c>
    </row>
    <row r="276" spans="1:3" x14ac:dyDescent="0.25">
      <c r="A276" t="s">
        <v>516</v>
      </c>
      <c r="B276">
        <v>91.16</v>
      </c>
    </row>
    <row r="277" spans="1:3" x14ac:dyDescent="0.25">
      <c r="A277" t="s">
        <v>525</v>
      </c>
      <c r="B277">
        <v>91.46</v>
      </c>
    </row>
    <row r="278" spans="1:3" x14ac:dyDescent="0.25">
      <c r="A278" t="s">
        <v>526</v>
      </c>
      <c r="B278">
        <v>91.86</v>
      </c>
    </row>
    <row r="279" spans="1:3" x14ac:dyDescent="0.25">
      <c r="A279" t="s">
        <v>527</v>
      </c>
      <c r="B279">
        <v>91.08</v>
      </c>
    </row>
    <row r="280" spans="1:3" x14ac:dyDescent="0.25">
      <c r="A280" t="s">
        <v>528</v>
      </c>
      <c r="B280" t="s">
        <v>583</v>
      </c>
    </row>
    <row r="281" spans="1:3" x14ac:dyDescent="0.25">
      <c r="A281" t="s">
        <v>529</v>
      </c>
      <c r="B281" t="s">
        <v>584</v>
      </c>
    </row>
    <row r="282" spans="1:3" x14ac:dyDescent="0.25">
      <c r="A282" t="s">
        <v>530</v>
      </c>
      <c r="B282">
        <v>91.23</v>
      </c>
    </row>
    <row r="283" spans="1:3" x14ac:dyDescent="0.25">
      <c r="A283" t="s">
        <v>531</v>
      </c>
      <c r="B283">
        <v>300</v>
      </c>
    </row>
    <row r="284" spans="1:3" x14ac:dyDescent="0.25">
      <c r="A284" t="s">
        <v>533</v>
      </c>
      <c r="B284">
        <v>91.35</v>
      </c>
    </row>
    <row r="285" spans="1:3" x14ac:dyDescent="0.25">
      <c r="A285" t="s">
        <v>534</v>
      </c>
      <c r="B285" s="21">
        <v>2500</v>
      </c>
    </row>
    <row r="286" spans="1:3" x14ac:dyDescent="0.25">
      <c r="A286" t="s">
        <v>535</v>
      </c>
      <c r="B286">
        <v>95.99</v>
      </c>
    </row>
    <row r="287" spans="1:3" x14ac:dyDescent="0.25">
      <c r="A287" t="s">
        <v>536</v>
      </c>
      <c r="B287">
        <v>69.180000000000007</v>
      </c>
    </row>
    <row r="288" spans="1:3" x14ac:dyDescent="0.25">
      <c r="A288" t="s">
        <v>537</v>
      </c>
      <c r="B288">
        <v>2.64</v>
      </c>
    </row>
    <row r="289" spans="1:3" x14ac:dyDescent="0.25">
      <c r="A289" t="s">
        <v>520</v>
      </c>
      <c r="B289">
        <v>2.9</v>
      </c>
    </row>
    <row r="291" spans="1:3" x14ac:dyDescent="0.25">
      <c r="A291" t="s">
        <v>513</v>
      </c>
      <c r="B291" t="s">
        <v>514</v>
      </c>
      <c r="C291" t="s">
        <v>78</v>
      </c>
    </row>
    <row r="292" spans="1:3" x14ac:dyDescent="0.25">
      <c r="A292" t="s">
        <v>516</v>
      </c>
      <c r="B292">
        <v>48.32</v>
      </c>
    </row>
    <row r="293" spans="1:3" x14ac:dyDescent="0.25">
      <c r="A293" t="s">
        <v>525</v>
      </c>
      <c r="B293">
        <v>48.74</v>
      </c>
    </row>
    <row r="294" spans="1:3" x14ac:dyDescent="0.25">
      <c r="A294" t="s">
        <v>526</v>
      </c>
      <c r="B294">
        <v>48.9</v>
      </c>
    </row>
    <row r="295" spans="1:3" x14ac:dyDescent="0.25">
      <c r="A295" t="s">
        <v>527</v>
      </c>
      <c r="B295">
        <v>48.06</v>
      </c>
    </row>
    <row r="296" spans="1:3" x14ac:dyDescent="0.25">
      <c r="A296" t="s">
        <v>528</v>
      </c>
      <c r="B296" t="s">
        <v>587</v>
      </c>
    </row>
    <row r="297" spans="1:3" x14ac:dyDescent="0.25">
      <c r="A297" t="s">
        <v>529</v>
      </c>
      <c r="B297" t="s">
        <v>588</v>
      </c>
    </row>
    <row r="298" spans="1:3" x14ac:dyDescent="0.25">
      <c r="A298" t="s">
        <v>530</v>
      </c>
      <c r="B298">
        <v>47.89</v>
      </c>
    </row>
    <row r="299" spans="1:3" x14ac:dyDescent="0.25">
      <c r="A299" t="s">
        <v>531</v>
      </c>
      <c r="B299">
        <v>100</v>
      </c>
    </row>
    <row r="300" spans="1:3" x14ac:dyDescent="0.25">
      <c r="A300" t="s">
        <v>533</v>
      </c>
      <c r="B300">
        <v>49.35</v>
      </c>
    </row>
    <row r="301" spans="1:3" x14ac:dyDescent="0.25">
      <c r="A301" t="s">
        <v>534</v>
      </c>
      <c r="B301">
        <v>400</v>
      </c>
    </row>
    <row r="302" spans="1:3" x14ac:dyDescent="0.25">
      <c r="A302" t="s">
        <v>535</v>
      </c>
      <c r="B302">
        <v>50.42</v>
      </c>
    </row>
    <row r="303" spans="1:3" x14ac:dyDescent="0.25">
      <c r="A303" t="s">
        <v>536</v>
      </c>
      <c r="B303">
        <v>40.020000000000003</v>
      </c>
    </row>
    <row r="304" spans="1:3" x14ac:dyDescent="0.25">
      <c r="A304" t="s">
        <v>537</v>
      </c>
      <c r="B304">
        <v>1.76</v>
      </c>
    </row>
    <row r="305" spans="1:3" x14ac:dyDescent="0.25">
      <c r="A305" t="s">
        <v>520</v>
      </c>
      <c r="B305">
        <v>3.64</v>
      </c>
    </row>
    <row r="307" spans="1:3" x14ac:dyDescent="0.25">
      <c r="A307" t="s">
        <v>513</v>
      </c>
      <c r="B307" t="s">
        <v>514</v>
      </c>
      <c r="C307" t="s">
        <v>80</v>
      </c>
    </row>
    <row r="308" spans="1:3" x14ac:dyDescent="0.25">
      <c r="A308" t="s">
        <v>516</v>
      </c>
      <c r="B308">
        <v>0.1</v>
      </c>
    </row>
    <row r="309" spans="1:3" x14ac:dyDescent="0.25">
      <c r="A309" t="s">
        <v>525</v>
      </c>
      <c r="B309">
        <v>0.1</v>
      </c>
    </row>
    <row r="310" spans="1:3" x14ac:dyDescent="0.25">
      <c r="A310" t="s">
        <v>526</v>
      </c>
      <c r="B310">
        <v>0.1</v>
      </c>
    </row>
    <row r="311" spans="1:3" x14ac:dyDescent="0.25">
      <c r="A311" t="s">
        <v>527</v>
      </c>
      <c r="B311">
        <v>0.1</v>
      </c>
    </row>
    <row r="312" spans="1:3" x14ac:dyDescent="0.25">
      <c r="A312" t="s">
        <v>528</v>
      </c>
      <c r="B312">
        <v>130</v>
      </c>
    </row>
    <row r="313" spans="1:3" x14ac:dyDescent="0.25">
      <c r="A313" t="s">
        <v>529</v>
      </c>
      <c r="B313" s="22">
        <v>2158.7199999999998</v>
      </c>
    </row>
    <row r="314" spans="1:3" x14ac:dyDescent="0.25">
      <c r="A314" t="s">
        <v>530</v>
      </c>
      <c r="B314">
        <v>0</v>
      </c>
    </row>
    <row r="315" spans="1:3" x14ac:dyDescent="0.25">
      <c r="A315" t="s">
        <v>531</v>
      </c>
      <c r="B315" t="s">
        <v>532</v>
      </c>
    </row>
    <row r="316" spans="1:3" x14ac:dyDescent="0.25">
      <c r="A316" t="s">
        <v>533</v>
      </c>
      <c r="B316">
        <v>0</v>
      </c>
    </row>
    <row r="317" spans="1:3" x14ac:dyDescent="0.25">
      <c r="A317" t="s">
        <v>534</v>
      </c>
      <c r="B317" t="s">
        <v>532</v>
      </c>
    </row>
    <row r="318" spans="1:3" x14ac:dyDescent="0.25">
      <c r="A318" t="s">
        <v>535</v>
      </c>
      <c r="B318">
        <v>0.19</v>
      </c>
    </row>
    <row r="319" spans="1:3" x14ac:dyDescent="0.25">
      <c r="A319" t="s">
        <v>536</v>
      </c>
      <c r="B319">
        <v>0.1</v>
      </c>
    </row>
    <row r="320" spans="1:3" x14ac:dyDescent="0.25">
      <c r="A320" t="s">
        <v>537</v>
      </c>
      <c r="B320" t="s">
        <v>532</v>
      </c>
    </row>
    <row r="321" spans="1:3" x14ac:dyDescent="0.25">
      <c r="A321" t="s">
        <v>520</v>
      </c>
      <c r="B321" t="s">
        <v>532</v>
      </c>
    </row>
    <row r="323" spans="1:3" x14ac:dyDescent="0.25">
      <c r="A323" t="s">
        <v>513</v>
      </c>
      <c r="B323" t="s">
        <v>514</v>
      </c>
      <c r="C323" t="s">
        <v>82</v>
      </c>
    </row>
    <row r="324" spans="1:3" x14ac:dyDescent="0.25">
      <c r="A324" t="s">
        <v>516</v>
      </c>
      <c r="B324">
        <v>0.17</v>
      </c>
    </row>
    <row r="325" spans="1:3" x14ac:dyDescent="0.25">
      <c r="A325" t="s">
        <v>525</v>
      </c>
      <c r="B325">
        <v>0.19</v>
      </c>
    </row>
    <row r="326" spans="1:3" x14ac:dyDescent="0.25">
      <c r="A326" t="s">
        <v>526</v>
      </c>
      <c r="B326">
        <v>0.19</v>
      </c>
    </row>
    <row r="327" spans="1:3" x14ac:dyDescent="0.25">
      <c r="A327" t="s">
        <v>527</v>
      </c>
      <c r="B327">
        <v>0.17</v>
      </c>
    </row>
    <row r="328" spans="1:3" x14ac:dyDescent="0.25">
      <c r="A328" t="s">
        <v>528</v>
      </c>
      <c r="B328" s="21">
        <v>800</v>
      </c>
    </row>
    <row r="329" spans="1:3" x14ac:dyDescent="0.25">
      <c r="A329" t="s">
        <v>529</v>
      </c>
      <c r="B329" t="s">
        <v>532</v>
      </c>
    </row>
    <row r="330" spans="1:3" x14ac:dyDescent="0.25">
      <c r="A330" t="s">
        <v>530</v>
      </c>
      <c r="B330">
        <v>0</v>
      </c>
    </row>
    <row r="331" spans="1:3" x14ac:dyDescent="0.25">
      <c r="A331" t="s">
        <v>531</v>
      </c>
      <c r="B331" t="s">
        <v>532</v>
      </c>
    </row>
    <row r="332" spans="1:3" x14ac:dyDescent="0.25">
      <c r="A332" t="s">
        <v>533</v>
      </c>
      <c r="B332">
        <v>0</v>
      </c>
    </row>
    <row r="333" spans="1:3" x14ac:dyDescent="0.25">
      <c r="A333" t="s">
        <v>534</v>
      </c>
      <c r="B333" t="s">
        <v>532</v>
      </c>
    </row>
    <row r="334" spans="1:3" x14ac:dyDescent="0.25">
      <c r="A334" t="s">
        <v>535</v>
      </c>
      <c r="B334">
        <v>0.25</v>
      </c>
    </row>
    <row r="335" spans="1:3" x14ac:dyDescent="0.25">
      <c r="A335" t="s">
        <v>536</v>
      </c>
      <c r="B335">
        <v>0.11</v>
      </c>
    </row>
    <row r="336" spans="1:3" x14ac:dyDescent="0.25">
      <c r="A336" t="s">
        <v>537</v>
      </c>
      <c r="B336" t="s">
        <v>532</v>
      </c>
    </row>
    <row r="337" spans="1:3" x14ac:dyDescent="0.25">
      <c r="A337" t="s">
        <v>520</v>
      </c>
      <c r="B337" t="s">
        <v>532</v>
      </c>
    </row>
    <row r="339" spans="1:3" x14ac:dyDescent="0.25">
      <c r="A339" t="s">
        <v>513</v>
      </c>
      <c r="B339" t="s">
        <v>514</v>
      </c>
      <c r="C339" t="s">
        <v>100</v>
      </c>
    </row>
    <row r="340" spans="1:3" x14ac:dyDescent="0.25">
      <c r="A340" t="s">
        <v>516</v>
      </c>
      <c r="B340">
        <v>23.28</v>
      </c>
    </row>
    <row r="341" spans="1:3" x14ac:dyDescent="0.25">
      <c r="A341" t="s">
        <v>525</v>
      </c>
      <c r="B341">
        <v>23.3</v>
      </c>
    </row>
    <row r="342" spans="1:3" x14ac:dyDescent="0.25">
      <c r="A342" t="s">
        <v>526</v>
      </c>
      <c r="B342">
        <v>23.46</v>
      </c>
    </row>
    <row r="343" spans="1:3" x14ac:dyDescent="0.25">
      <c r="A343" t="s">
        <v>527</v>
      </c>
      <c r="B343">
        <v>23.21</v>
      </c>
    </row>
    <row r="344" spans="1:3" x14ac:dyDescent="0.25">
      <c r="A344" t="s">
        <v>528</v>
      </c>
      <c r="B344" s="21">
        <v>160804</v>
      </c>
    </row>
    <row r="345" spans="1:3" x14ac:dyDescent="0.25">
      <c r="A345" t="s">
        <v>529</v>
      </c>
      <c r="B345" s="22">
        <v>147280.88</v>
      </c>
    </row>
    <row r="346" spans="1:3" x14ac:dyDescent="0.25">
      <c r="A346" t="s">
        <v>530</v>
      </c>
      <c r="B346">
        <v>0</v>
      </c>
    </row>
    <row r="347" spans="1:3" x14ac:dyDescent="0.25">
      <c r="A347" t="s">
        <v>531</v>
      </c>
      <c r="B347">
        <v>100</v>
      </c>
    </row>
    <row r="348" spans="1:3" x14ac:dyDescent="0.25">
      <c r="A348" t="s">
        <v>533</v>
      </c>
      <c r="B348">
        <v>24.39</v>
      </c>
    </row>
    <row r="349" spans="1:3" x14ac:dyDescent="0.25">
      <c r="A349" t="s">
        <v>534</v>
      </c>
      <c r="B349">
        <v>300</v>
      </c>
    </row>
    <row r="350" spans="1:3" x14ac:dyDescent="0.25">
      <c r="A350" t="s">
        <v>535</v>
      </c>
      <c r="B350">
        <v>24.7</v>
      </c>
    </row>
    <row r="351" spans="1:3" x14ac:dyDescent="0.25">
      <c r="A351" t="s">
        <v>536</v>
      </c>
      <c r="B351">
        <v>16.25</v>
      </c>
    </row>
    <row r="352" spans="1:3" x14ac:dyDescent="0.25">
      <c r="A352" t="s">
        <v>537</v>
      </c>
      <c r="B352">
        <v>2</v>
      </c>
    </row>
    <row r="353" spans="1:3" x14ac:dyDescent="0.25">
      <c r="A353" t="s">
        <v>520</v>
      </c>
      <c r="B353">
        <v>8.59</v>
      </c>
    </row>
    <row r="355" spans="1:3" x14ac:dyDescent="0.25">
      <c r="A355" t="s">
        <v>513</v>
      </c>
      <c r="B355" t="s">
        <v>514</v>
      </c>
      <c r="C355" t="s">
        <v>88</v>
      </c>
    </row>
    <row r="356" spans="1:3" x14ac:dyDescent="0.25">
      <c r="A356" t="s">
        <v>516</v>
      </c>
      <c r="B356">
        <v>40.200000000000003</v>
      </c>
    </row>
    <row r="357" spans="1:3" x14ac:dyDescent="0.25">
      <c r="A357" t="s">
        <v>525</v>
      </c>
      <c r="B357">
        <v>40.340000000000003</v>
      </c>
    </row>
    <row r="358" spans="1:3" x14ac:dyDescent="0.25">
      <c r="A358" t="s">
        <v>526</v>
      </c>
      <c r="B358">
        <v>40.5</v>
      </c>
    </row>
    <row r="359" spans="1:3" x14ac:dyDescent="0.25">
      <c r="A359" t="s">
        <v>527</v>
      </c>
      <c r="B359">
        <v>40.22</v>
      </c>
    </row>
    <row r="360" spans="1:3" x14ac:dyDescent="0.25">
      <c r="A360" t="s">
        <v>528</v>
      </c>
      <c r="B360" t="s">
        <v>578</v>
      </c>
    </row>
    <row r="361" spans="1:3" x14ac:dyDescent="0.25">
      <c r="A361" t="s">
        <v>529</v>
      </c>
      <c r="B361" t="s">
        <v>579</v>
      </c>
    </row>
    <row r="362" spans="1:3" x14ac:dyDescent="0.25">
      <c r="A362" t="s">
        <v>530</v>
      </c>
      <c r="B362">
        <v>40.01</v>
      </c>
    </row>
    <row r="363" spans="1:3" x14ac:dyDescent="0.25">
      <c r="A363" t="s">
        <v>531</v>
      </c>
      <c r="B363" s="21">
        <v>200</v>
      </c>
    </row>
    <row r="364" spans="1:3" x14ac:dyDescent="0.25">
      <c r="A364" t="s">
        <v>533</v>
      </c>
      <c r="B364">
        <v>43.01</v>
      </c>
    </row>
    <row r="365" spans="1:3" x14ac:dyDescent="0.25">
      <c r="A365" t="s">
        <v>534</v>
      </c>
      <c r="B365" s="21">
        <v>100</v>
      </c>
    </row>
    <row r="366" spans="1:3" x14ac:dyDescent="0.25">
      <c r="A366" t="s">
        <v>535</v>
      </c>
      <c r="B366">
        <v>48.5</v>
      </c>
    </row>
    <row r="367" spans="1:3" x14ac:dyDescent="0.25">
      <c r="A367" t="s">
        <v>536</v>
      </c>
      <c r="B367">
        <v>39.4</v>
      </c>
    </row>
    <row r="368" spans="1:3" x14ac:dyDescent="0.25">
      <c r="A368" t="s">
        <v>537</v>
      </c>
      <c r="B368">
        <v>1.82</v>
      </c>
    </row>
    <row r="369" spans="1:3" x14ac:dyDescent="0.25">
      <c r="A369" t="s">
        <v>520</v>
      </c>
      <c r="B369">
        <v>4.53</v>
      </c>
    </row>
    <row r="371" spans="1:3" x14ac:dyDescent="0.25">
      <c r="A371" t="s">
        <v>513</v>
      </c>
      <c r="B371" t="s">
        <v>514</v>
      </c>
      <c r="C371" t="s">
        <v>90</v>
      </c>
    </row>
    <row r="372" spans="1:3" x14ac:dyDescent="0.25">
      <c r="A372" t="s">
        <v>516</v>
      </c>
      <c r="B372">
        <v>17.670000000000002</v>
      </c>
    </row>
    <row r="373" spans="1:3" x14ac:dyDescent="0.25">
      <c r="A373" t="s">
        <v>525</v>
      </c>
      <c r="B373">
        <v>17.559999999999999</v>
      </c>
    </row>
    <row r="374" spans="1:3" x14ac:dyDescent="0.25">
      <c r="A374" t="s">
        <v>526</v>
      </c>
      <c r="B374">
        <v>17.66</v>
      </c>
    </row>
    <row r="375" spans="1:3" x14ac:dyDescent="0.25">
      <c r="A375" t="s">
        <v>527</v>
      </c>
      <c r="B375">
        <v>17.48</v>
      </c>
    </row>
    <row r="376" spans="1:3" x14ac:dyDescent="0.25">
      <c r="A376" t="s">
        <v>528</v>
      </c>
      <c r="B376" t="s">
        <v>616</v>
      </c>
    </row>
    <row r="377" spans="1:3" x14ac:dyDescent="0.25">
      <c r="A377" t="s">
        <v>529</v>
      </c>
      <c r="B377" t="s">
        <v>617</v>
      </c>
    </row>
    <row r="378" spans="1:3" x14ac:dyDescent="0.25">
      <c r="A378" t="s">
        <v>530</v>
      </c>
      <c r="B378">
        <v>17.3</v>
      </c>
    </row>
    <row r="379" spans="1:3" x14ac:dyDescent="0.25">
      <c r="A379" t="s">
        <v>531</v>
      </c>
      <c r="B379">
        <v>100</v>
      </c>
    </row>
    <row r="380" spans="1:3" x14ac:dyDescent="0.25">
      <c r="A380" t="s">
        <v>533</v>
      </c>
      <c r="B380">
        <v>17.77</v>
      </c>
    </row>
    <row r="381" spans="1:3" x14ac:dyDescent="0.25">
      <c r="A381" t="s">
        <v>534</v>
      </c>
      <c r="B381">
        <v>600</v>
      </c>
    </row>
    <row r="382" spans="1:3" x14ac:dyDescent="0.25">
      <c r="A382" t="s">
        <v>535</v>
      </c>
      <c r="B382">
        <v>23.38</v>
      </c>
    </row>
    <row r="383" spans="1:3" x14ac:dyDescent="0.25">
      <c r="A383" t="s">
        <v>536</v>
      </c>
      <c r="B383">
        <v>10.59</v>
      </c>
    </row>
    <row r="384" spans="1:3" x14ac:dyDescent="0.25">
      <c r="A384" t="s">
        <v>537</v>
      </c>
      <c r="B384">
        <v>0.25</v>
      </c>
    </row>
    <row r="385" spans="1:3" x14ac:dyDescent="0.25">
      <c r="A385" t="s">
        <v>520</v>
      </c>
      <c r="B385">
        <v>1.41</v>
      </c>
    </row>
    <row r="387" spans="1:3" x14ac:dyDescent="0.25">
      <c r="A387" t="s">
        <v>513</v>
      </c>
      <c r="B387" t="s">
        <v>514</v>
      </c>
      <c r="C387" t="s">
        <v>92</v>
      </c>
    </row>
    <row r="388" spans="1:3" x14ac:dyDescent="0.25">
      <c r="A388" t="s">
        <v>516</v>
      </c>
      <c r="B388">
        <v>44.18</v>
      </c>
    </row>
    <row r="389" spans="1:3" x14ac:dyDescent="0.25">
      <c r="A389" t="s">
        <v>525</v>
      </c>
      <c r="B389">
        <v>44.26</v>
      </c>
    </row>
    <row r="390" spans="1:3" x14ac:dyDescent="0.25">
      <c r="A390" t="s">
        <v>526</v>
      </c>
      <c r="B390">
        <v>44.89</v>
      </c>
    </row>
    <row r="391" spans="1:3" x14ac:dyDescent="0.25">
      <c r="A391" t="s">
        <v>527</v>
      </c>
      <c r="B391">
        <v>44.19</v>
      </c>
    </row>
    <row r="392" spans="1:3" x14ac:dyDescent="0.25">
      <c r="A392" t="s">
        <v>528</v>
      </c>
      <c r="B392" t="s">
        <v>614</v>
      </c>
    </row>
    <row r="393" spans="1:3" x14ac:dyDescent="0.25">
      <c r="A393" t="s">
        <v>529</v>
      </c>
      <c r="B393" t="s">
        <v>615</v>
      </c>
    </row>
    <row r="394" spans="1:3" x14ac:dyDescent="0.25">
      <c r="A394" t="s">
        <v>530</v>
      </c>
      <c r="B394">
        <v>43.75</v>
      </c>
    </row>
    <row r="395" spans="1:3" x14ac:dyDescent="0.25">
      <c r="A395" t="s">
        <v>531</v>
      </c>
      <c r="B395">
        <v>900</v>
      </c>
    </row>
    <row r="396" spans="1:3" x14ac:dyDescent="0.25">
      <c r="A396" t="s">
        <v>533</v>
      </c>
      <c r="B396">
        <v>0</v>
      </c>
    </row>
    <row r="397" spans="1:3" x14ac:dyDescent="0.25">
      <c r="A397" t="s">
        <v>534</v>
      </c>
      <c r="B397">
        <v>100</v>
      </c>
    </row>
    <row r="398" spans="1:3" x14ac:dyDescent="0.25">
      <c r="A398" t="s">
        <v>535</v>
      </c>
      <c r="B398">
        <v>54.62</v>
      </c>
    </row>
    <row r="399" spans="1:3" x14ac:dyDescent="0.25">
      <c r="A399" t="s">
        <v>536</v>
      </c>
      <c r="B399">
        <v>42.38</v>
      </c>
    </row>
    <row r="400" spans="1:3" x14ac:dyDescent="0.25">
      <c r="A400" t="s">
        <v>537</v>
      </c>
      <c r="B400">
        <v>1.76</v>
      </c>
    </row>
    <row r="401" spans="1:3" x14ac:dyDescent="0.25">
      <c r="A401" t="s">
        <v>520</v>
      </c>
      <c r="B401">
        <v>3.98</v>
      </c>
    </row>
    <row r="403" spans="1:3" x14ac:dyDescent="0.25">
      <c r="A403" t="s">
        <v>513</v>
      </c>
      <c r="B403" t="s">
        <v>514</v>
      </c>
      <c r="C403" t="s">
        <v>102</v>
      </c>
    </row>
    <row r="404" spans="1:3" x14ac:dyDescent="0.25">
      <c r="A404" t="s">
        <v>516</v>
      </c>
      <c r="B404">
        <v>83.67</v>
      </c>
    </row>
    <row r="405" spans="1:3" x14ac:dyDescent="0.25">
      <c r="A405" t="s">
        <v>525</v>
      </c>
      <c r="B405">
        <v>73.650000000000006</v>
      </c>
    </row>
    <row r="406" spans="1:3" x14ac:dyDescent="0.25">
      <c r="A406" t="s">
        <v>526</v>
      </c>
      <c r="B406">
        <v>78.319999999999993</v>
      </c>
    </row>
    <row r="407" spans="1:3" x14ac:dyDescent="0.25">
      <c r="A407" t="s">
        <v>527</v>
      </c>
      <c r="B407">
        <v>73.599999999999994</v>
      </c>
    </row>
    <row r="408" spans="1:3" x14ac:dyDescent="0.25">
      <c r="A408" t="s">
        <v>528</v>
      </c>
      <c r="B408" t="s">
        <v>628</v>
      </c>
    </row>
    <row r="409" spans="1:3" x14ac:dyDescent="0.25">
      <c r="A409" t="s">
        <v>529</v>
      </c>
      <c r="B409" t="s">
        <v>629</v>
      </c>
    </row>
    <row r="410" spans="1:3" x14ac:dyDescent="0.25">
      <c r="A410" t="s">
        <v>530</v>
      </c>
      <c r="B410">
        <v>78</v>
      </c>
    </row>
    <row r="411" spans="1:3" x14ac:dyDescent="0.25">
      <c r="A411" t="s">
        <v>531</v>
      </c>
      <c r="B411">
        <v>400</v>
      </c>
    </row>
    <row r="412" spans="1:3" x14ac:dyDescent="0.25">
      <c r="A412" t="s">
        <v>533</v>
      </c>
      <c r="B412">
        <v>78.67</v>
      </c>
    </row>
    <row r="413" spans="1:3" x14ac:dyDescent="0.25">
      <c r="A413" t="s">
        <v>534</v>
      </c>
      <c r="B413">
        <v>100</v>
      </c>
    </row>
    <row r="414" spans="1:3" x14ac:dyDescent="0.25">
      <c r="A414" t="s">
        <v>535</v>
      </c>
      <c r="B414">
        <v>98.47</v>
      </c>
    </row>
    <row r="415" spans="1:3" x14ac:dyDescent="0.25">
      <c r="A415" t="s">
        <v>536</v>
      </c>
      <c r="B415">
        <v>71.77</v>
      </c>
    </row>
    <row r="416" spans="1:3" x14ac:dyDescent="0.25">
      <c r="A416" t="s">
        <v>537</v>
      </c>
      <c r="B416">
        <v>0.72</v>
      </c>
    </row>
    <row r="417" spans="1:3" x14ac:dyDescent="0.25">
      <c r="A417" t="s">
        <v>520</v>
      </c>
      <c r="B417">
        <v>0.86</v>
      </c>
    </row>
    <row r="419" spans="1:3" x14ac:dyDescent="0.25">
      <c r="A419" t="s">
        <v>513</v>
      </c>
      <c r="B419" t="s">
        <v>514</v>
      </c>
      <c r="C419" t="s">
        <v>111</v>
      </c>
    </row>
    <row r="420" spans="1:3" x14ac:dyDescent="0.25">
      <c r="A420" t="s">
        <v>516</v>
      </c>
      <c r="B420">
        <v>39.979999999999997</v>
      </c>
    </row>
    <row r="421" spans="1:3" x14ac:dyDescent="0.25">
      <c r="A421" t="s">
        <v>525</v>
      </c>
      <c r="B421">
        <v>39.81</v>
      </c>
    </row>
    <row r="422" spans="1:3" x14ac:dyDescent="0.25">
      <c r="A422" t="s">
        <v>526</v>
      </c>
      <c r="B422">
        <v>40.26</v>
      </c>
    </row>
    <row r="423" spans="1:3" x14ac:dyDescent="0.25">
      <c r="A423" t="s">
        <v>527</v>
      </c>
      <c r="B423">
        <v>39.81</v>
      </c>
    </row>
    <row r="424" spans="1:3" x14ac:dyDescent="0.25">
      <c r="A424" t="s">
        <v>528</v>
      </c>
      <c r="B424" s="21">
        <v>6333</v>
      </c>
    </row>
    <row r="425" spans="1:3" x14ac:dyDescent="0.25">
      <c r="A425" t="s">
        <v>529</v>
      </c>
      <c r="B425" t="s">
        <v>532</v>
      </c>
    </row>
    <row r="426" spans="1:3" x14ac:dyDescent="0.25">
      <c r="A426" t="s">
        <v>530</v>
      </c>
      <c r="B426">
        <v>39.15</v>
      </c>
    </row>
    <row r="427" spans="1:3" x14ac:dyDescent="0.25">
      <c r="A427" t="s">
        <v>531</v>
      </c>
      <c r="B427">
        <v>500</v>
      </c>
    </row>
    <row r="428" spans="1:3" x14ac:dyDescent="0.25">
      <c r="A428" t="s">
        <v>533</v>
      </c>
      <c r="B428">
        <v>0</v>
      </c>
    </row>
    <row r="429" spans="1:3" x14ac:dyDescent="0.25">
      <c r="A429" t="s">
        <v>534</v>
      </c>
      <c r="B429">
        <v>400</v>
      </c>
    </row>
    <row r="430" spans="1:3" x14ac:dyDescent="0.25">
      <c r="A430" t="s">
        <v>535</v>
      </c>
      <c r="B430">
        <v>42.3</v>
      </c>
    </row>
    <row r="431" spans="1:3" x14ac:dyDescent="0.25">
      <c r="A431" t="s">
        <v>536</v>
      </c>
      <c r="B431">
        <v>31.8</v>
      </c>
    </row>
    <row r="432" spans="1:3" x14ac:dyDescent="0.25">
      <c r="A432" t="s">
        <v>537</v>
      </c>
      <c r="B432" t="s">
        <v>532</v>
      </c>
    </row>
    <row r="433" spans="1:3" x14ac:dyDescent="0.25">
      <c r="A433" t="s">
        <v>520</v>
      </c>
      <c r="B433" t="s">
        <v>532</v>
      </c>
    </row>
    <row r="435" spans="1:3" x14ac:dyDescent="0.25">
      <c r="A435" t="s">
        <v>513</v>
      </c>
      <c r="B435" t="s">
        <v>514</v>
      </c>
      <c r="C435" t="s">
        <v>118</v>
      </c>
    </row>
    <row r="436" spans="1:3" x14ac:dyDescent="0.25">
      <c r="A436" t="s">
        <v>516</v>
      </c>
      <c r="B436">
        <v>59.95</v>
      </c>
    </row>
    <row r="437" spans="1:3" x14ac:dyDescent="0.25">
      <c r="A437" t="s">
        <v>525</v>
      </c>
      <c r="B437">
        <v>60.16</v>
      </c>
    </row>
    <row r="438" spans="1:3" x14ac:dyDescent="0.25">
      <c r="A438" t="s">
        <v>526</v>
      </c>
      <c r="B438">
        <v>60.4</v>
      </c>
    </row>
    <row r="439" spans="1:3" x14ac:dyDescent="0.25">
      <c r="A439" t="s">
        <v>527</v>
      </c>
      <c r="B439">
        <v>59.96</v>
      </c>
    </row>
    <row r="440" spans="1:3" x14ac:dyDescent="0.25">
      <c r="A440" t="s">
        <v>528</v>
      </c>
      <c r="B440" t="s">
        <v>580</v>
      </c>
    </row>
    <row r="441" spans="1:3" x14ac:dyDescent="0.25">
      <c r="A441" t="s">
        <v>529</v>
      </c>
      <c r="B441" t="s">
        <v>540</v>
      </c>
    </row>
    <row r="442" spans="1:3" x14ac:dyDescent="0.25">
      <c r="A442" t="s">
        <v>530</v>
      </c>
      <c r="B442">
        <v>59.45</v>
      </c>
    </row>
    <row r="443" spans="1:3" x14ac:dyDescent="0.25">
      <c r="A443" t="s">
        <v>531</v>
      </c>
      <c r="B443">
        <v>100</v>
      </c>
    </row>
    <row r="444" spans="1:3" x14ac:dyDescent="0.25">
      <c r="A444" t="s">
        <v>533</v>
      </c>
      <c r="B444">
        <v>60.37</v>
      </c>
    </row>
    <row r="445" spans="1:3" x14ac:dyDescent="0.25">
      <c r="A445" t="s">
        <v>534</v>
      </c>
      <c r="B445" s="21">
        <v>1000</v>
      </c>
    </row>
    <row r="446" spans="1:3" x14ac:dyDescent="0.25">
      <c r="A446" t="s">
        <v>535</v>
      </c>
      <c r="B446">
        <v>62.69</v>
      </c>
    </row>
    <row r="447" spans="1:3" x14ac:dyDescent="0.25">
      <c r="A447" t="s">
        <v>536</v>
      </c>
      <c r="B447">
        <v>43.98</v>
      </c>
    </row>
    <row r="448" spans="1:3" x14ac:dyDescent="0.25">
      <c r="A448" t="s">
        <v>537</v>
      </c>
      <c r="B448">
        <v>1.8</v>
      </c>
    </row>
    <row r="449" spans="1:3" x14ac:dyDescent="0.25">
      <c r="A449" t="s">
        <v>520</v>
      </c>
      <c r="B449">
        <v>3</v>
      </c>
    </row>
    <row r="451" spans="1:3" x14ac:dyDescent="0.25">
      <c r="A451" t="s">
        <v>513</v>
      </c>
      <c r="B451" t="s">
        <v>514</v>
      </c>
      <c r="C451" t="s">
        <v>120</v>
      </c>
    </row>
    <row r="452" spans="1:3" x14ac:dyDescent="0.25">
      <c r="A452" t="s">
        <v>516</v>
      </c>
      <c r="B452">
        <v>26.54</v>
      </c>
    </row>
    <row r="453" spans="1:3" x14ac:dyDescent="0.25">
      <c r="A453" t="s">
        <v>525</v>
      </c>
      <c r="B453">
        <v>26.59</v>
      </c>
    </row>
    <row r="454" spans="1:3" x14ac:dyDescent="0.25">
      <c r="A454" t="s">
        <v>526</v>
      </c>
      <c r="B454">
        <v>26.94</v>
      </c>
    </row>
    <row r="455" spans="1:3" x14ac:dyDescent="0.25">
      <c r="A455" t="s">
        <v>527</v>
      </c>
      <c r="B455">
        <v>26.51</v>
      </c>
    </row>
    <row r="456" spans="1:3" x14ac:dyDescent="0.25">
      <c r="A456" t="s">
        <v>528</v>
      </c>
      <c r="B456" t="s">
        <v>630</v>
      </c>
    </row>
    <row r="457" spans="1:3" x14ac:dyDescent="0.25">
      <c r="A457" t="s">
        <v>529</v>
      </c>
      <c r="B457" t="s">
        <v>631</v>
      </c>
    </row>
    <row r="458" spans="1:3" x14ac:dyDescent="0.25">
      <c r="A458" t="s">
        <v>530</v>
      </c>
      <c r="B458">
        <v>26.8</v>
      </c>
    </row>
    <row r="459" spans="1:3" x14ac:dyDescent="0.25">
      <c r="A459" t="s">
        <v>531</v>
      </c>
      <c r="B459">
        <v>300</v>
      </c>
    </row>
    <row r="460" spans="1:3" x14ac:dyDescent="0.25">
      <c r="A460" t="s">
        <v>533</v>
      </c>
      <c r="B460">
        <v>26.93</v>
      </c>
    </row>
    <row r="461" spans="1:3" x14ac:dyDescent="0.25">
      <c r="A461" t="s">
        <v>534</v>
      </c>
      <c r="B461">
        <v>500</v>
      </c>
    </row>
    <row r="462" spans="1:3" x14ac:dyDescent="0.25">
      <c r="A462" t="s">
        <v>535</v>
      </c>
      <c r="B462">
        <v>27.5</v>
      </c>
    </row>
    <row r="463" spans="1:3" x14ac:dyDescent="0.25">
      <c r="A463" t="s">
        <v>536</v>
      </c>
      <c r="B463">
        <v>20.260000000000002</v>
      </c>
    </row>
    <row r="464" spans="1:3" x14ac:dyDescent="0.25">
      <c r="A464" t="s">
        <v>537</v>
      </c>
      <c r="B464">
        <v>0.76</v>
      </c>
    </row>
    <row r="465" spans="1:3" x14ac:dyDescent="0.25">
      <c r="A465" t="s">
        <v>520</v>
      </c>
      <c r="B465">
        <v>2.86</v>
      </c>
    </row>
    <row r="467" spans="1:3" x14ac:dyDescent="0.25">
      <c r="A467" t="s">
        <v>513</v>
      </c>
      <c r="B467" t="s">
        <v>514</v>
      </c>
      <c r="C467" t="s">
        <v>124</v>
      </c>
    </row>
    <row r="468" spans="1:3" x14ac:dyDescent="0.25">
      <c r="A468" t="s">
        <v>516</v>
      </c>
      <c r="B468">
        <v>78.5</v>
      </c>
    </row>
    <row r="469" spans="1:3" x14ac:dyDescent="0.25">
      <c r="A469" t="s">
        <v>525</v>
      </c>
      <c r="B469">
        <v>78.73</v>
      </c>
    </row>
    <row r="470" spans="1:3" x14ac:dyDescent="0.25">
      <c r="A470" t="s">
        <v>526</v>
      </c>
      <c r="B470">
        <v>78.77</v>
      </c>
    </row>
    <row r="471" spans="1:3" x14ac:dyDescent="0.25">
      <c r="A471" t="s">
        <v>527</v>
      </c>
      <c r="B471">
        <v>77.930000000000007</v>
      </c>
    </row>
    <row r="472" spans="1:3" x14ac:dyDescent="0.25">
      <c r="A472" t="s">
        <v>528</v>
      </c>
      <c r="B472" t="s">
        <v>581</v>
      </c>
    </row>
    <row r="473" spans="1:3" x14ac:dyDescent="0.25">
      <c r="A473" t="s">
        <v>529</v>
      </c>
      <c r="B473" t="s">
        <v>582</v>
      </c>
    </row>
    <row r="474" spans="1:3" x14ac:dyDescent="0.25">
      <c r="A474" t="s">
        <v>530</v>
      </c>
      <c r="B474">
        <v>77.81</v>
      </c>
    </row>
    <row r="475" spans="1:3" x14ac:dyDescent="0.25">
      <c r="A475" t="s">
        <v>531</v>
      </c>
      <c r="B475">
        <v>300</v>
      </c>
    </row>
    <row r="476" spans="1:3" x14ac:dyDescent="0.25">
      <c r="A476" t="s">
        <v>533</v>
      </c>
      <c r="B476">
        <v>78.209999999999994</v>
      </c>
    </row>
    <row r="477" spans="1:3" x14ac:dyDescent="0.25">
      <c r="A477" t="s">
        <v>534</v>
      </c>
      <c r="B477">
        <v>300</v>
      </c>
    </row>
    <row r="478" spans="1:3" x14ac:dyDescent="0.25">
      <c r="A478" t="s">
        <v>535</v>
      </c>
      <c r="B478">
        <v>81.37</v>
      </c>
    </row>
    <row r="479" spans="1:3" x14ac:dyDescent="0.25">
      <c r="A479" t="s">
        <v>536</v>
      </c>
      <c r="B479">
        <v>67.37</v>
      </c>
    </row>
    <row r="480" spans="1:3" x14ac:dyDescent="0.25">
      <c r="A480" t="s">
        <v>537</v>
      </c>
      <c r="B480">
        <v>1.88</v>
      </c>
    </row>
    <row r="481" spans="1:3" x14ac:dyDescent="0.25">
      <c r="A481" t="s">
        <v>520</v>
      </c>
      <c r="B481">
        <v>2.39</v>
      </c>
    </row>
    <row r="483" spans="1:3" x14ac:dyDescent="0.25">
      <c r="A483" t="s">
        <v>513</v>
      </c>
      <c r="B483" t="s">
        <v>514</v>
      </c>
      <c r="C483" t="s">
        <v>127</v>
      </c>
    </row>
    <row r="484" spans="1:3" x14ac:dyDescent="0.25">
      <c r="A484" t="s">
        <v>516</v>
      </c>
      <c r="B484">
        <v>6.1</v>
      </c>
    </row>
    <row r="485" spans="1:3" x14ac:dyDescent="0.25">
      <c r="A485" t="s">
        <v>525</v>
      </c>
      <c r="B485">
        <v>6.1</v>
      </c>
    </row>
    <row r="486" spans="1:3" x14ac:dyDescent="0.25">
      <c r="A486" t="s">
        <v>526</v>
      </c>
      <c r="B486">
        <v>6.17</v>
      </c>
    </row>
    <row r="487" spans="1:3" x14ac:dyDescent="0.25">
      <c r="A487" t="s">
        <v>527</v>
      </c>
      <c r="B487">
        <v>5.9</v>
      </c>
    </row>
    <row r="488" spans="1:3" x14ac:dyDescent="0.25">
      <c r="A488" t="s">
        <v>528</v>
      </c>
      <c r="B488" s="21">
        <v>105695</v>
      </c>
    </row>
    <row r="489" spans="1:3" x14ac:dyDescent="0.25">
      <c r="A489" t="s">
        <v>529</v>
      </c>
      <c r="B489" s="22">
        <v>63535.97</v>
      </c>
    </row>
    <row r="490" spans="1:3" x14ac:dyDescent="0.25">
      <c r="A490" t="s">
        <v>530</v>
      </c>
      <c r="B490">
        <v>0</v>
      </c>
    </row>
    <row r="491" spans="1:3" x14ac:dyDescent="0.25">
      <c r="A491" t="s">
        <v>531</v>
      </c>
      <c r="B491">
        <v>100</v>
      </c>
    </row>
    <row r="492" spans="1:3" x14ac:dyDescent="0.25">
      <c r="A492" t="s">
        <v>533</v>
      </c>
      <c r="B492">
        <v>6.26</v>
      </c>
    </row>
    <row r="493" spans="1:3" x14ac:dyDescent="0.25">
      <c r="A493" t="s">
        <v>534</v>
      </c>
      <c r="B493">
        <v>100</v>
      </c>
    </row>
    <row r="494" spans="1:3" x14ac:dyDescent="0.25">
      <c r="A494" t="s">
        <v>535</v>
      </c>
      <c r="B494">
        <v>7.98</v>
      </c>
    </row>
    <row r="495" spans="1:3" x14ac:dyDescent="0.25">
      <c r="A495" t="s">
        <v>536</v>
      </c>
      <c r="B495">
        <v>0.06</v>
      </c>
    </row>
    <row r="496" spans="1:3" x14ac:dyDescent="0.25">
      <c r="A496" t="s">
        <v>537</v>
      </c>
      <c r="B496" t="s">
        <v>532</v>
      </c>
    </row>
    <row r="497" spans="1:3" x14ac:dyDescent="0.25">
      <c r="A497" t="s">
        <v>520</v>
      </c>
      <c r="B497" t="s">
        <v>532</v>
      </c>
    </row>
    <row r="499" spans="1:3" x14ac:dyDescent="0.25">
      <c r="A499" t="s">
        <v>513</v>
      </c>
      <c r="B499" t="s">
        <v>514</v>
      </c>
      <c r="C499" t="s">
        <v>129</v>
      </c>
    </row>
    <row r="500" spans="1:3" x14ac:dyDescent="0.25">
      <c r="A500" t="s">
        <v>516</v>
      </c>
      <c r="B500">
        <v>48.13</v>
      </c>
    </row>
    <row r="501" spans="1:3" x14ac:dyDescent="0.25">
      <c r="A501" t="s">
        <v>525</v>
      </c>
      <c r="B501">
        <v>48.11</v>
      </c>
    </row>
    <row r="502" spans="1:3" x14ac:dyDescent="0.25">
      <c r="A502" t="s">
        <v>526</v>
      </c>
      <c r="B502">
        <v>48.17</v>
      </c>
    </row>
    <row r="503" spans="1:3" x14ac:dyDescent="0.25">
      <c r="A503" t="s">
        <v>527</v>
      </c>
      <c r="B503">
        <v>47.52</v>
      </c>
    </row>
    <row r="504" spans="1:3" x14ac:dyDescent="0.25">
      <c r="A504" t="s">
        <v>528</v>
      </c>
      <c r="B504" t="s">
        <v>592</v>
      </c>
    </row>
    <row r="505" spans="1:3" x14ac:dyDescent="0.25">
      <c r="A505" t="s">
        <v>529</v>
      </c>
      <c r="B505" t="s">
        <v>593</v>
      </c>
    </row>
    <row r="506" spans="1:3" x14ac:dyDescent="0.25">
      <c r="A506" t="s">
        <v>530</v>
      </c>
      <c r="B506">
        <v>47.73</v>
      </c>
    </row>
    <row r="507" spans="1:3" x14ac:dyDescent="0.25">
      <c r="A507" t="s">
        <v>531</v>
      </c>
      <c r="B507">
        <v>300</v>
      </c>
    </row>
    <row r="508" spans="1:3" x14ac:dyDescent="0.25">
      <c r="A508" t="s">
        <v>533</v>
      </c>
      <c r="B508">
        <v>48.16</v>
      </c>
    </row>
    <row r="509" spans="1:3" x14ac:dyDescent="0.25">
      <c r="A509" t="s">
        <v>534</v>
      </c>
      <c r="B509">
        <v>300</v>
      </c>
    </row>
    <row r="510" spans="1:3" x14ac:dyDescent="0.25">
      <c r="A510" t="s">
        <v>535</v>
      </c>
      <c r="B510">
        <v>54.31</v>
      </c>
    </row>
    <row r="511" spans="1:3" x14ac:dyDescent="0.25">
      <c r="A511" t="s">
        <v>536</v>
      </c>
      <c r="B511">
        <v>41.5</v>
      </c>
    </row>
    <row r="512" spans="1:3" x14ac:dyDescent="0.25">
      <c r="A512" t="s">
        <v>537</v>
      </c>
      <c r="B512">
        <v>2.12</v>
      </c>
    </row>
    <row r="513" spans="1:3" x14ac:dyDescent="0.25">
      <c r="A513" t="s">
        <v>520</v>
      </c>
      <c r="B513">
        <v>4.4000000000000004</v>
      </c>
    </row>
    <row r="515" spans="1:3" x14ac:dyDescent="0.25">
      <c r="A515" t="s">
        <v>513</v>
      </c>
      <c r="B515" t="s">
        <v>514</v>
      </c>
      <c r="C515" t="s">
        <v>135</v>
      </c>
    </row>
    <row r="516" spans="1:3" x14ac:dyDescent="0.25">
      <c r="A516" t="s">
        <v>516</v>
      </c>
      <c r="B516">
        <v>28.97</v>
      </c>
    </row>
    <row r="517" spans="1:3" x14ac:dyDescent="0.25">
      <c r="A517" t="s">
        <v>525</v>
      </c>
      <c r="B517">
        <v>29.06</v>
      </c>
    </row>
    <row r="518" spans="1:3" x14ac:dyDescent="0.25">
      <c r="A518" t="s">
        <v>526</v>
      </c>
      <c r="B518">
        <v>29.23</v>
      </c>
    </row>
    <row r="519" spans="1:3" x14ac:dyDescent="0.25">
      <c r="A519" t="s">
        <v>527</v>
      </c>
      <c r="B519">
        <v>28.9</v>
      </c>
    </row>
    <row r="520" spans="1:3" x14ac:dyDescent="0.25">
      <c r="A520" t="s">
        <v>528</v>
      </c>
      <c r="B520" t="s">
        <v>611</v>
      </c>
    </row>
    <row r="521" spans="1:3" x14ac:dyDescent="0.25">
      <c r="A521" t="s">
        <v>529</v>
      </c>
      <c r="B521" t="s">
        <v>612</v>
      </c>
    </row>
    <row r="522" spans="1:3" x14ac:dyDescent="0.25">
      <c r="A522" t="s">
        <v>530</v>
      </c>
      <c r="B522">
        <v>21</v>
      </c>
    </row>
    <row r="523" spans="1:3" x14ac:dyDescent="0.25">
      <c r="A523" t="s">
        <v>531</v>
      </c>
      <c r="B523">
        <v>200</v>
      </c>
    </row>
    <row r="524" spans="1:3" x14ac:dyDescent="0.25">
      <c r="A524" t="s">
        <v>533</v>
      </c>
      <c r="B524">
        <v>29.19</v>
      </c>
    </row>
    <row r="525" spans="1:3" x14ac:dyDescent="0.25">
      <c r="A525" t="s">
        <v>534</v>
      </c>
      <c r="B525">
        <v>400</v>
      </c>
    </row>
    <row r="526" spans="1:3" x14ac:dyDescent="0.25">
      <c r="A526" t="s">
        <v>535</v>
      </c>
      <c r="B526">
        <v>29.69</v>
      </c>
    </row>
    <row r="527" spans="1:3" x14ac:dyDescent="0.25">
      <c r="A527" t="s">
        <v>536</v>
      </c>
      <c r="B527">
        <v>14.6</v>
      </c>
    </row>
    <row r="528" spans="1:3" x14ac:dyDescent="0.25">
      <c r="A528" t="s">
        <v>537</v>
      </c>
      <c r="B528">
        <v>0.92</v>
      </c>
    </row>
    <row r="529" spans="1:3" x14ac:dyDescent="0.25">
      <c r="A529" t="s">
        <v>520</v>
      </c>
      <c r="B529">
        <v>3.18</v>
      </c>
    </row>
    <row r="531" spans="1:3" x14ac:dyDescent="0.25">
      <c r="A531" t="s">
        <v>513</v>
      </c>
      <c r="B531" t="s">
        <v>514</v>
      </c>
      <c r="C531" t="s">
        <v>569</v>
      </c>
    </row>
    <row r="532" spans="1:3" x14ac:dyDescent="0.25">
      <c r="A532" t="s">
        <v>516</v>
      </c>
      <c r="B532">
        <v>2.63</v>
      </c>
    </row>
    <row r="533" spans="1:3" x14ac:dyDescent="0.25">
      <c r="A533" t="s">
        <v>525</v>
      </c>
      <c r="B533">
        <v>2.5499999999999998</v>
      </c>
    </row>
    <row r="534" spans="1:3" x14ac:dyDescent="0.25">
      <c r="A534" t="s">
        <v>526</v>
      </c>
      <c r="B534">
        <v>2.5499999999999998</v>
      </c>
    </row>
    <row r="535" spans="1:3" x14ac:dyDescent="0.25">
      <c r="A535" t="s">
        <v>527</v>
      </c>
      <c r="B535">
        <v>2.5</v>
      </c>
    </row>
    <row r="536" spans="1:3" x14ac:dyDescent="0.25">
      <c r="A536" t="s">
        <v>528</v>
      </c>
      <c r="B536" s="21">
        <v>1900</v>
      </c>
    </row>
    <row r="537" spans="1:3" x14ac:dyDescent="0.25">
      <c r="A537" t="s">
        <v>529</v>
      </c>
      <c r="B537" t="s">
        <v>532</v>
      </c>
    </row>
    <row r="538" spans="1:3" x14ac:dyDescent="0.25">
      <c r="A538" t="s">
        <v>530</v>
      </c>
      <c r="B538">
        <v>0</v>
      </c>
    </row>
    <row r="539" spans="1:3" x14ac:dyDescent="0.25">
      <c r="A539" t="s">
        <v>531</v>
      </c>
      <c r="B539">
        <v>100</v>
      </c>
    </row>
    <row r="540" spans="1:3" x14ac:dyDescent="0.25">
      <c r="A540" t="s">
        <v>533</v>
      </c>
      <c r="B540">
        <v>0</v>
      </c>
    </row>
    <row r="541" spans="1:3" x14ac:dyDescent="0.25">
      <c r="A541" t="s">
        <v>534</v>
      </c>
      <c r="B541">
        <v>100</v>
      </c>
    </row>
    <row r="542" spans="1:3" x14ac:dyDescent="0.25">
      <c r="A542" t="s">
        <v>535</v>
      </c>
      <c r="B542">
        <v>3.77</v>
      </c>
    </row>
    <row r="543" spans="1:3" x14ac:dyDescent="0.25">
      <c r="A543" t="s">
        <v>536</v>
      </c>
      <c r="B543">
        <v>0.72</v>
      </c>
    </row>
    <row r="544" spans="1:3" x14ac:dyDescent="0.25">
      <c r="A544" t="s">
        <v>537</v>
      </c>
      <c r="B544" t="s">
        <v>532</v>
      </c>
    </row>
    <row r="545" spans="1:3" x14ac:dyDescent="0.25">
      <c r="A545" t="s">
        <v>520</v>
      </c>
      <c r="B545" t="s">
        <v>532</v>
      </c>
    </row>
    <row r="549" spans="1:3" x14ac:dyDescent="0.25">
      <c r="A549" t="s">
        <v>513</v>
      </c>
      <c r="B549" t="s">
        <v>514</v>
      </c>
      <c r="C549" t="s">
        <v>176</v>
      </c>
    </row>
    <row r="550" spans="1:3" x14ac:dyDescent="0.25">
      <c r="A550" t="s">
        <v>516</v>
      </c>
      <c r="B550">
        <v>14.41</v>
      </c>
    </row>
    <row r="551" spans="1:3" x14ac:dyDescent="0.25">
      <c r="A551" t="s">
        <v>525</v>
      </c>
      <c r="B551">
        <v>14.49</v>
      </c>
    </row>
    <row r="552" spans="1:3" x14ac:dyDescent="0.25">
      <c r="A552" t="s">
        <v>526</v>
      </c>
      <c r="B552">
        <v>14.89</v>
      </c>
    </row>
    <row r="553" spans="1:3" x14ac:dyDescent="0.25">
      <c r="A553" t="s">
        <v>527</v>
      </c>
      <c r="B553">
        <v>14.32</v>
      </c>
    </row>
    <row r="554" spans="1:3" x14ac:dyDescent="0.25">
      <c r="A554" t="s">
        <v>528</v>
      </c>
      <c r="B554" s="21">
        <v>740542</v>
      </c>
    </row>
    <row r="555" spans="1:3" x14ac:dyDescent="0.25">
      <c r="A555" t="s">
        <v>529</v>
      </c>
      <c r="B555" s="22">
        <v>451581.61</v>
      </c>
    </row>
    <row r="556" spans="1:3" x14ac:dyDescent="0.25">
      <c r="A556" t="s">
        <v>530</v>
      </c>
      <c r="B556">
        <v>0</v>
      </c>
    </row>
    <row r="557" spans="1:3" x14ac:dyDescent="0.25">
      <c r="A557" t="s">
        <v>531</v>
      </c>
      <c r="B557" s="21" t="s">
        <v>532</v>
      </c>
    </row>
    <row r="558" spans="1:3" x14ac:dyDescent="0.25">
      <c r="A558" t="s">
        <v>533</v>
      </c>
      <c r="B558">
        <v>0</v>
      </c>
    </row>
    <row r="559" spans="1:3" x14ac:dyDescent="0.25">
      <c r="A559" t="s">
        <v>534</v>
      </c>
      <c r="B559" t="s">
        <v>532</v>
      </c>
    </row>
    <row r="560" spans="1:3" x14ac:dyDescent="0.25">
      <c r="A560" t="s">
        <v>535</v>
      </c>
      <c r="B560">
        <v>15.79</v>
      </c>
    </row>
    <row r="561" spans="1:3" x14ac:dyDescent="0.25">
      <c r="A561" t="s">
        <v>536</v>
      </c>
      <c r="B561">
        <v>12.6</v>
      </c>
    </row>
    <row r="562" spans="1:3" x14ac:dyDescent="0.25">
      <c r="A562" t="s">
        <v>537</v>
      </c>
      <c r="B562">
        <v>0.6</v>
      </c>
    </row>
    <row r="563" spans="1:3" x14ac:dyDescent="0.25">
      <c r="A563" t="s">
        <v>520</v>
      </c>
      <c r="B563">
        <v>4.17</v>
      </c>
    </row>
    <row r="565" spans="1:3" x14ac:dyDescent="0.25">
      <c r="A565" t="s">
        <v>513</v>
      </c>
      <c r="B565" t="s">
        <v>514</v>
      </c>
      <c r="C565" t="s">
        <v>457</v>
      </c>
    </row>
    <row r="566" spans="1:3" x14ac:dyDescent="0.25">
      <c r="A566" t="s">
        <v>516</v>
      </c>
      <c r="B566">
        <v>89.34</v>
      </c>
    </row>
    <row r="567" spans="1:3" x14ac:dyDescent="0.25">
      <c r="A567" t="s">
        <v>525</v>
      </c>
      <c r="B567">
        <v>89.43</v>
      </c>
    </row>
    <row r="568" spans="1:3" x14ac:dyDescent="0.25">
      <c r="A568" t="s">
        <v>526</v>
      </c>
      <c r="B568">
        <v>89.7</v>
      </c>
    </row>
    <row r="569" spans="1:3" x14ac:dyDescent="0.25">
      <c r="A569" t="s">
        <v>527</v>
      </c>
      <c r="B569">
        <v>89.34</v>
      </c>
    </row>
    <row r="570" spans="1:3" x14ac:dyDescent="0.25">
      <c r="A570" t="s">
        <v>528</v>
      </c>
      <c r="B570" s="21">
        <v>74201</v>
      </c>
    </row>
    <row r="571" spans="1:3" x14ac:dyDescent="0.25">
      <c r="A571" t="s">
        <v>530</v>
      </c>
      <c r="B571">
        <v>89.36</v>
      </c>
    </row>
    <row r="572" spans="1:3" x14ac:dyDescent="0.25">
      <c r="A572" t="s">
        <v>531</v>
      </c>
      <c r="B572">
        <v>100</v>
      </c>
    </row>
    <row r="573" spans="1:3" x14ac:dyDescent="0.25">
      <c r="A573" t="s">
        <v>533</v>
      </c>
      <c r="B573">
        <v>97.5</v>
      </c>
    </row>
    <row r="574" spans="1:3" x14ac:dyDescent="0.25">
      <c r="A574" t="s">
        <v>534</v>
      </c>
      <c r="B574">
        <v>200</v>
      </c>
    </row>
    <row r="575" spans="1:3" x14ac:dyDescent="0.25">
      <c r="A575" t="s">
        <v>535</v>
      </c>
      <c r="B575">
        <v>106.03</v>
      </c>
    </row>
    <row r="576" spans="1:3" x14ac:dyDescent="0.25">
      <c r="A576" t="s">
        <v>536</v>
      </c>
      <c r="B576">
        <v>88.73</v>
      </c>
    </row>
    <row r="577" spans="1:3" x14ac:dyDescent="0.25">
      <c r="A577" t="s">
        <v>554</v>
      </c>
      <c r="B577">
        <v>55.07</v>
      </c>
    </row>
    <row r="578" spans="1:3" x14ac:dyDescent="0.25">
      <c r="A578" t="s">
        <v>555</v>
      </c>
      <c r="B578">
        <v>-12.14</v>
      </c>
    </row>
    <row r="579" spans="1:3" x14ac:dyDescent="0.25">
      <c r="A579" t="s">
        <v>556</v>
      </c>
      <c r="B579">
        <v>-12.21</v>
      </c>
    </row>
    <row r="580" spans="1:3" x14ac:dyDescent="0.25">
      <c r="A580" t="s">
        <v>557</v>
      </c>
      <c r="B580" s="2">
        <v>38889</v>
      </c>
    </row>
    <row r="581" spans="1:3" x14ac:dyDescent="0.25">
      <c r="A581" t="s">
        <v>558</v>
      </c>
      <c r="B581" t="s">
        <v>559</v>
      </c>
    </row>
    <row r="583" spans="1:3" x14ac:dyDescent="0.25">
      <c r="A583" t="s">
        <v>513</v>
      </c>
      <c r="B583" t="s">
        <v>514</v>
      </c>
      <c r="C583" t="s">
        <v>460</v>
      </c>
    </row>
    <row r="584" spans="1:3" x14ac:dyDescent="0.25">
      <c r="A584" t="s">
        <v>516</v>
      </c>
      <c r="B584">
        <v>93.44</v>
      </c>
    </row>
    <row r="585" spans="1:3" x14ac:dyDescent="0.25">
      <c r="A585" t="s">
        <v>525</v>
      </c>
      <c r="B585">
        <v>93.47</v>
      </c>
    </row>
    <row r="586" spans="1:3" x14ac:dyDescent="0.25">
      <c r="A586" t="s">
        <v>526</v>
      </c>
      <c r="B586">
        <v>93.91</v>
      </c>
    </row>
    <row r="587" spans="1:3" x14ac:dyDescent="0.25">
      <c r="A587" t="s">
        <v>527</v>
      </c>
      <c r="B587">
        <v>93.43</v>
      </c>
    </row>
    <row r="588" spans="1:3" x14ac:dyDescent="0.25">
      <c r="A588" t="s">
        <v>528</v>
      </c>
      <c r="B588" s="21">
        <v>56577</v>
      </c>
    </row>
    <row r="589" spans="1:3" x14ac:dyDescent="0.25">
      <c r="A589" t="s">
        <v>530</v>
      </c>
      <c r="B589">
        <v>93.03</v>
      </c>
    </row>
    <row r="590" spans="1:3" x14ac:dyDescent="0.25">
      <c r="A590" t="s">
        <v>531</v>
      </c>
      <c r="B590">
        <v>300</v>
      </c>
    </row>
    <row r="591" spans="1:3" x14ac:dyDescent="0.25">
      <c r="A591" t="s">
        <v>533</v>
      </c>
      <c r="B591">
        <v>94.25</v>
      </c>
    </row>
    <row r="592" spans="1:3" x14ac:dyDescent="0.25">
      <c r="A592" t="s">
        <v>534</v>
      </c>
      <c r="B592">
        <v>500</v>
      </c>
    </row>
    <row r="593" spans="1:3" x14ac:dyDescent="0.25">
      <c r="A593" t="s">
        <v>535</v>
      </c>
      <c r="B593">
        <v>101.29</v>
      </c>
    </row>
    <row r="594" spans="1:3" x14ac:dyDescent="0.25">
      <c r="A594" t="s">
        <v>536</v>
      </c>
      <c r="B594">
        <v>92.86</v>
      </c>
    </row>
    <row r="595" spans="1:3" x14ac:dyDescent="0.25">
      <c r="A595" t="s">
        <v>554</v>
      </c>
      <c r="B595">
        <v>45.89</v>
      </c>
    </row>
    <row r="596" spans="1:3" x14ac:dyDescent="0.25">
      <c r="A596" t="s">
        <v>555</v>
      </c>
      <c r="B596">
        <v>-5.98</v>
      </c>
    </row>
    <row r="597" spans="1:3" x14ac:dyDescent="0.25">
      <c r="A597" t="s">
        <v>556</v>
      </c>
      <c r="B597">
        <v>-6.11</v>
      </c>
    </row>
    <row r="598" spans="1:3" x14ac:dyDescent="0.25">
      <c r="A598" t="s">
        <v>557</v>
      </c>
      <c r="B598" s="2">
        <v>38889</v>
      </c>
    </row>
    <row r="599" spans="1:3" x14ac:dyDescent="0.25">
      <c r="A599" t="s">
        <v>558</v>
      </c>
      <c r="B599" t="s">
        <v>560</v>
      </c>
    </row>
    <row r="601" spans="1:3" x14ac:dyDescent="0.25">
      <c r="A601" t="s">
        <v>513</v>
      </c>
      <c r="B601" t="s">
        <v>514</v>
      </c>
      <c r="C601" t="s">
        <v>461</v>
      </c>
    </row>
    <row r="602" spans="1:3" x14ac:dyDescent="0.25">
      <c r="A602" t="s">
        <v>516</v>
      </c>
      <c r="B602">
        <v>135.99</v>
      </c>
    </row>
    <row r="603" spans="1:3" x14ac:dyDescent="0.25">
      <c r="A603" t="s">
        <v>525</v>
      </c>
      <c r="B603">
        <v>135.82</v>
      </c>
    </row>
    <row r="604" spans="1:3" x14ac:dyDescent="0.25">
      <c r="A604" t="s">
        <v>526</v>
      </c>
      <c r="B604">
        <v>135.83000000000001</v>
      </c>
    </row>
    <row r="605" spans="1:3" x14ac:dyDescent="0.25">
      <c r="A605" t="s">
        <v>527</v>
      </c>
      <c r="B605">
        <v>135.59</v>
      </c>
    </row>
    <row r="606" spans="1:3" x14ac:dyDescent="0.25">
      <c r="A606" t="s">
        <v>528</v>
      </c>
      <c r="B606" s="21">
        <v>244530</v>
      </c>
    </row>
    <row r="607" spans="1:3" x14ac:dyDescent="0.25">
      <c r="A607" t="s">
        <v>530</v>
      </c>
      <c r="B607">
        <v>130</v>
      </c>
    </row>
    <row r="608" spans="1:3" x14ac:dyDescent="0.25">
      <c r="A608" t="s">
        <v>531</v>
      </c>
      <c r="B608">
        <v>200</v>
      </c>
    </row>
    <row r="609" spans="1:3" x14ac:dyDescent="0.25">
      <c r="A609" t="s">
        <v>533</v>
      </c>
      <c r="B609">
        <v>140</v>
      </c>
    </row>
    <row r="610" spans="1:3" x14ac:dyDescent="0.25">
      <c r="A610" t="s">
        <v>534</v>
      </c>
      <c r="B610">
        <v>500</v>
      </c>
    </row>
    <row r="611" spans="1:3" x14ac:dyDescent="0.25">
      <c r="A611" t="s">
        <v>535</v>
      </c>
      <c r="B611">
        <v>136.71</v>
      </c>
    </row>
    <row r="612" spans="1:3" x14ac:dyDescent="0.25">
      <c r="A612" t="s">
        <v>536</v>
      </c>
      <c r="B612">
        <v>126.3</v>
      </c>
    </row>
    <row r="613" spans="1:3" x14ac:dyDescent="0.25">
      <c r="A613" t="s">
        <v>554</v>
      </c>
      <c r="B613">
        <v>12.1</v>
      </c>
    </row>
    <row r="614" spans="1:3" x14ac:dyDescent="0.25">
      <c r="A614" t="s">
        <v>555</v>
      </c>
      <c r="B614">
        <v>3.75</v>
      </c>
    </row>
    <row r="615" spans="1:3" x14ac:dyDescent="0.25">
      <c r="A615" t="s">
        <v>556</v>
      </c>
      <c r="B615">
        <v>3.72</v>
      </c>
    </row>
    <row r="616" spans="1:3" x14ac:dyDescent="0.25">
      <c r="A616" t="s">
        <v>557</v>
      </c>
      <c r="B616" s="2">
        <v>38695</v>
      </c>
    </row>
    <row r="617" spans="1:3" x14ac:dyDescent="0.25">
      <c r="A617" t="s">
        <v>558</v>
      </c>
      <c r="B617" t="s">
        <v>562</v>
      </c>
    </row>
    <row r="619" spans="1:3" x14ac:dyDescent="0.25">
      <c r="A619" t="s">
        <v>513</v>
      </c>
      <c r="B619" t="s">
        <v>514</v>
      </c>
      <c r="C619" t="s">
        <v>462</v>
      </c>
    </row>
    <row r="620" spans="1:3" x14ac:dyDescent="0.25">
      <c r="A620" t="s">
        <v>516</v>
      </c>
      <c r="B620">
        <v>110.14</v>
      </c>
    </row>
    <row r="621" spans="1:3" x14ac:dyDescent="0.25">
      <c r="A621" t="s">
        <v>525</v>
      </c>
      <c r="B621">
        <v>110.07</v>
      </c>
    </row>
    <row r="622" spans="1:3" x14ac:dyDescent="0.25">
      <c r="A622" t="s">
        <v>526</v>
      </c>
      <c r="B622">
        <v>110.13</v>
      </c>
    </row>
    <row r="623" spans="1:3" x14ac:dyDescent="0.25">
      <c r="A623" t="s">
        <v>527</v>
      </c>
      <c r="B623">
        <v>109.95</v>
      </c>
    </row>
    <row r="624" spans="1:3" x14ac:dyDescent="0.25">
      <c r="A624" t="s">
        <v>528</v>
      </c>
      <c r="B624" s="21">
        <v>10798</v>
      </c>
    </row>
    <row r="625" spans="1:3" x14ac:dyDescent="0.25">
      <c r="A625" t="s">
        <v>530</v>
      </c>
      <c r="B625">
        <v>110.06</v>
      </c>
    </row>
    <row r="626" spans="1:3" x14ac:dyDescent="0.25">
      <c r="A626" t="s">
        <v>531</v>
      </c>
      <c r="B626" s="21">
        <v>2000</v>
      </c>
    </row>
    <row r="627" spans="1:3" x14ac:dyDescent="0.25">
      <c r="A627" t="s">
        <v>533</v>
      </c>
      <c r="B627">
        <v>110.31</v>
      </c>
    </row>
    <row r="628" spans="1:3" x14ac:dyDescent="0.25">
      <c r="A628" t="s">
        <v>534</v>
      </c>
      <c r="B628" s="21">
        <v>1000</v>
      </c>
    </row>
    <row r="629" spans="1:3" x14ac:dyDescent="0.25">
      <c r="A629" t="s">
        <v>535</v>
      </c>
      <c r="B629">
        <v>110.85</v>
      </c>
    </row>
    <row r="630" spans="1:3" x14ac:dyDescent="0.25">
      <c r="A630" t="s">
        <v>536</v>
      </c>
      <c r="B630">
        <v>99.8</v>
      </c>
    </row>
    <row r="631" spans="1:3" x14ac:dyDescent="0.25">
      <c r="A631" t="s">
        <v>554</v>
      </c>
      <c r="B631">
        <v>22.54</v>
      </c>
    </row>
    <row r="632" spans="1:3" x14ac:dyDescent="0.25">
      <c r="A632" t="s">
        <v>555</v>
      </c>
      <c r="B632">
        <v>2.37</v>
      </c>
    </row>
    <row r="633" spans="1:3" x14ac:dyDescent="0.25">
      <c r="A633" t="s">
        <v>556</v>
      </c>
      <c r="B633">
        <v>2.42</v>
      </c>
    </row>
    <row r="634" spans="1:3" x14ac:dyDescent="0.25">
      <c r="A634" t="s">
        <v>557</v>
      </c>
      <c r="B634" s="2">
        <v>38889</v>
      </c>
    </row>
    <row r="635" spans="1:3" x14ac:dyDescent="0.25">
      <c r="A635" t="s">
        <v>558</v>
      </c>
      <c r="B635" t="s">
        <v>561</v>
      </c>
    </row>
    <row r="637" spans="1:3" x14ac:dyDescent="0.25">
      <c r="A637" t="s">
        <v>513</v>
      </c>
      <c r="B637" t="s">
        <v>514</v>
      </c>
      <c r="C637" t="s">
        <v>463</v>
      </c>
    </row>
    <row r="638" spans="1:3" x14ac:dyDescent="0.25">
      <c r="A638" t="s">
        <v>516</v>
      </c>
      <c r="B638">
        <v>94.58</v>
      </c>
    </row>
    <row r="639" spans="1:3" x14ac:dyDescent="0.25">
      <c r="A639" t="s">
        <v>525</v>
      </c>
      <c r="B639">
        <v>94.66</v>
      </c>
    </row>
    <row r="640" spans="1:3" x14ac:dyDescent="0.25">
      <c r="A640" t="s">
        <v>526</v>
      </c>
      <c r="B640">
        <v>94.85</v>
      </c>
    </row>
    <row r="641" spans="1:3" x14ac:dyDescent="0.25">
      <c r="A641" t="s">
        <v>527</v>
      </c>
      <c r="B641">
        <v>94.58</v>
      </c>
    </row>
    <row r="642" spans="1:3" x14ac:dyDescent="0.25">
      <c r="A642" t="s">
        <v>528</v>
      </c>
      <c r="B642" s="21">
        <v>109628</v>
      </c>
    </row>
    <row r="643" spans="1:3" x14ac:dyDescent="0.25">
      <c r="A643" t="s">
        <v>530</v>
      </c>
      <c r="B643">
        <v>0.01</v>
      </c>
    </row>
    <row r="644" spans="1:3" x14ac:dyDescent="0.25">
      <c r="A644" t="s">
        <v>531</v>
      </c>
      <c r="B644" s="21">
        <v>1000</v>
      </c>
    </row>
    <row r="645" spans="1:3" x14ac:dyDescent="0.25">
      <c r="A645" t="s">
        <v>533</v>
      </c>
      <c r="B645">
        <v>99.52</v>
      </c>
    </row>
    <row r="646" spans="1:3" x14ac:dyDescent="0.25">
      <c r="A646" t="s">
        <v>534</v>
      </c>
      <c r="B646">
        <v>500</v>
      </c>
    </row>
    <row r="647" spans="1:3" x14ac:dyDescent="0.25">
      <c r="A647" t="s">
        <v>535</v>
      </c>
      <c r="B647">
        <v>117.65</v>
      </c>
    </row>
    <row r="648" spans="1:3" x14ac:dyDescent="0.25">
      <c r="A648" t="s">
        <v>536</v>
      </c>
      <c r="B648">
        <v>94.38</v>
      </c>
    </row>
    <row r="649" spans="1:3" x14ac:dyDescent="0.25">
      <c r="A649" t="s">
        <v>554</v>
      </c>
      <c r="B649">
        <v>-7.88</v>
      </c>
    </row>
    <row r="650" spans="1:3" x14ac:dyDescent="0.25">
      <c r="A650" t="s">
        <v>555</v>
      </c>
      <c r="B650">
        <v>-16.489999999999998</v>
      </c>
    </row>
    <row r="651" spans="1:3" x14ac:dyDescent="0.25">
      <c r="A651" t="s">
        <v>556</v>
      </c>
      <c r="B651">
        <v>-16.27</v>
      </c>
    </row>
    <row r="652" spans="1:3" x14ac:dyDescent="0.25">
      <c r="A652" t="s">
        <v>557</v>
      </c>
      <c r="B652" s="2">
        <v>39125</v>
      </c>
    </row>
    <row r="653" spans="1:3" x14ac:dyDescent="0.25">
      <c r="A653" t="s">
        <v>558</v>
      </c>
      <c r="B653" t="s">
        <v>562</v>
      </c>
    </row>
    <row r="655" spans="1:3" x14ac:dyDescent="0.25">
      <c r="A655" t="s">
        <v>513</v>
      </c>
      <c r="B655" t="s">
        <v>514</v>
      </c>
      <c r="C655" t="s">
        <v>563</v>
      </c>
    </row>
    <row r="656" spans="1:3" x14ac:dyDescent="0.25">
      <c r="A656" t="s">
        <v>516</v>
      </c>
      <c r="B656">
        <v>78.86</v>
      </c>
    </row>
    <row r="657" spans="1:3" x14ac:dyDescent="0.25">
      <c r="A657" t="s">
        <v>525</v>
      </c>
      <c r="B657">
        <v>78.959999999999994</v>
      </c>
    </row>
    <row r="658" spans="1:3" x14ac:dyDescent="0.25">
      <c r="A658" t="s">
        <v>526</v>
      </c>
      <c r="B658">
        <v>79.41</v>
      </c>
    </row>
    <row r="659" spans="1:3" x14ac:dyDescent="0.25">
      <c r="A659" t="s">
        <v>527</v>
      </c>
      <c r="B659">
        <v>78.64</v>
      </c>
    </row>
    <row r="660" spans="1:3" x14ac:dyDescent="0.25">
      <c r="A660" t="s">
        <v>528</v>
      </c>
      <c r="B660" s="21">
        <v>724059</v>
      </c>
    </row>
    <row r="661" spans="1:3" x14ac:dyDescent="0.25">
      <c r="A661" t="s">
        <v>529</v>
      </c>
      <c r="B661" t="s">
        <v>598</v>
      </c>
    </row>
    <row r="662" spans="1:3" x14ac:dyDescent="0.25">
      <c r="A662" t="s">
        <v>530</v>
      </c>
      <c r="B662">
        <v>79.05</v>
      </c>
    </row>
    <row r="663" spans="1:3" x14ac:dyDescent="0.25">
      <c r="A663" t="s">
        <v>531</v>
      </c>
      <c r="B663">
        <v>700</v>
      </c>
    </row>
    <row r="664" spans="1:3" x14ac:dyDescent="0.25">
      <c r="A664" t="s">
        <v>533</v>
      </c>
      <c r="B664">
        <v>79.099999999999994</v>
      </c>
    </row>
    <row r="665" spans="1:3" x14ac:dyDescent="0.25">
      <c r="A665" t="s">
        <v>534</v>
      </c>
      <c r="B665">
        <v>500</v>
      </c>
    </row>
    <row r="666" spans="1:3" x14ac:dyDescent="0.25">
      <c r="A666" t="s">
        <v>535</v>
      </c>
      <c r="B666">
        <v>92.99</v>
      </c>
    </row>
    <row r="667" spans="1:3" x14ac:dyDescent="0.25">
      <c r="A667" t="s">
        <v>536</v>
      </c>
      <c r="B667">
        <v>77.599999999999994</v>
      </c>
    </row>
    <row r="668" spans="1:3" x14ac:dyDescent="0.25">
      <c r="A668" t="s">
        <v>537</v>
      </c>
      <c r="B668">
        <v>5.4</v>
      </c>
    </row>
    <row r="669" spans="1:3" x14ac:dyDescent="0.25">
      <c r="A669" t="s">
        <v>520</v>
      </c>
      <c r="B669">
        <v>6.85</v>
      </c>
    </row>
    <row r="671" spans="1:3" x14ac:dyDescent="0.25">
      <c r="A671" t="s">
        <v>513</v>
      </c>
      <c r="B671" t="s">
        <v>514</v>
      </c>
      <c r="C671" t="s">
        <v>178</v>
      </c>
    </row>
    <row r="672" spans="1:3" x14ac:dyDescent="0.25">
      <c r="A672" t="s">
        <v>516</v>
      </c>
      <c r="B672">
        <v>18.809999999999999</v>
      </c>
    </row>
    <row r="673" spans="1:2" x14ac:dyDescent="0.25">
      <c r="A673" t="s">
        <v>525</v>
      </c>
      <c r="B673">
        <v>18.89</v>
      </c>
    </row>
    <row r="674" spans="1:2" x14ac:dyDescent="0.25">
      <c r="A674" t="s">
        <v>526</v>
      </c>
      <c r="B674">
        <v>19.03</v>
      </c>
    </row>
    <row r="675" spans="1:2" x14ac:dyDescent="0.25">
      <c r="A675" t="s">
        <v>527</v>
      </c>
      <c r="B675">
        <v>18.84</v>
      </c>
    </row>
    <row r="676" spans="1:2" x14ac:dyDescent="0.25">
      <c r="A676" t="s">
        <v>528</v>
      </c>
      <c r="B676" t="s">
        <v>603</v>
      </c>
    </row>
    <row r="677" spans="1:2" x14ac:dyDescent="0.25">
      <c r="A677" t="s">
        <v>530</v>
      </c>
      <c r="B677">
        <v>18.96</v>
      </c>
    </row>
    <row r="678" spans="1:2" x14ac:dyDescent="0.25">
      <c r="A678" t="s">
        <v>531</v>
      </c>
      <c r="B678">
        <v>100</v>
      </c>
    </row>
    <row r="679" spans="1:2" x14ac:dyDescent="0.25">
      <c r="A679" t="s">
        <v>533</v>
      </c>
      <c r="B679">
        <v>18.989999999999998</v>
      </c>
    </row>
    <row r="680" spans="1:2" x14ac:dyDescent="0.25">
      <c r="A680" t="s">
        <v>534</v>
      </c>
      <c r="B680" s="21">
        <v>7500</v>
      </c>
    </row>
    <row r="681" spans="1:2" x14ac:dyDescent="0.25">
      <c r="A681" t="s">
        <v>535</v>
      </c>
      <c r="B681">
        <v>31.53</v>
      </c>
    </row>
    <row r="682" spans="1:2" x14ac:dyDescent="0.25">
      <c r="A682" t="s">
        <v>536</v>
      </c>
      <c r="B682">
        <v>17.75</v>
      </c>
    </row>
    <row r="683" spans="1:2" x14ac:dyDescent="0.25">
      <c r="A683" t="s">
        <v>554</v>
      </c>
      <c r="B683">
        <v>1.97</v>
      </c>
    </row>
    <row r="684" spans="1:2" x14ac:dyDescent="0.25">
      <c r="A684" t="s">
        <v>555</v>
      </c>
      <c r="B684">
        <v>-35.049999999999997</v>
      </c>
    </row>
    <row r="685" spans="1:2" x14ac:dyDescent="0.25">
      <c r="A685" t="s">
        <v>556</v>
      </c>
      <c r="B685">
        <v>-35.479999999999997</v>
      </c>
    </row>
    <row r="686" spans="1:2" x14ac:dyDescent="0.25">
      <c r="A686" t="s">
        <v>557</v>
      </c>
      <c r="B686" s="2">
        <v>38828</v>
      </c>
    </row>
    <row r="687" spans="1:2" x14ac:dyDescent="0.25">
      <c r="A687" t="s">
        <v>558</v>
      </c>
      <c r="B687" t="s">
        <v>604</v>
      </c>
    </row>
    <row r="689" spans="1:3" x14ac:dyDescent="0.25">
      <c r="A689" t="s">
        <v>513</v>
      </c>
      <c r="B689" t="s">
        <v>514</v>
      </c>
      <c r="C689" t="s">
        <v>170</v>
      </c>
    </row>
    <row r="690" spans="1:3" x14ac:dyDescent="0.25">
      <c r="A690" t="s">
        <v>516</v>
      </c>
      <c r="B690">
        <v>118.29</v>
      </c>
    </row>
    <row r="691" spans="1:3" x14ac:dyDescent="0.25">
      <c r="A691" t="s">
        <v>525</v>
      </c>
      <c r="B691">
        <v>118.89</v>
      </c>
    </row>
    <row r="692" spans="1:3" x14ac:dyDescent="0.25">
      <c r="A692" t="s">
        <v>526</v>
      </c>
      <c r="B692">
        <v>119.49</v>
      </c>
    </row>
    <row r="693" spans="1:3" x14ac:dyDescent="0.25">
      <c r="A693" t="s">
        <v>527</v>
      </c>
      <c r="B693">
        <v>118.76</v>
      </c>
    </row>
    <row r="694" spans="1:3" x14ac:dyDescent="0.25">
      <c r="A694" t="s">
        <v>528</v>
      </c>
      <c r="B694" t="s">
        <v>589</v>
      </c>
    </row>
    <row r="695" spans="1:3" x14ac:dyDescent="0.25">
      <c r="A695" t="s">
        <v>530</v>
      </c>
      <c r="B695">
        <v>118.8</v>
      </c>
    </row>
    <row r="696" spans="1:3" x14ac:dyDescent="0.25">
      <c r="A696" t="s">
        <v>531</v>
      </c>
      <c r="B696">
        <v>100</v>
      </c>
    </row>
    <row r="697" spans="1:3" x14ac:dyDescent="0.25">
      <c r="A697" t="s">
        <v>533</v>
      </c>
      <c r="B697">
        <v>119.57</v>
      </c>
    </row>
    <row r="698" spans="1:3" x14ac:dyDescent="0.25">
      <c r="A698" t="s">
        <v>534</v>
      </c>
      <c r="B698">
        <v>200</v>
      </c>
    </row>
    <row r="699" spans="1:3" x14ac:dyDescent="0.25">
      <c r="A699" t="s">
        <v>535</v>
      </c>
      <c r="B699">
        <v>164.62</v>
      </c>
    </row>
    <row r="700" spans="1:3" x14ac:dyDescent="0.25">
      <c r="A700" t="s">
        <v>536</v>
      </c>
      <c r="B700">
        <v>114.68</v>
      </c>
    </row>
    <row r="701" spans="1:3" x14ac:dyDescent="0.25">
      <c r="A701" t="s">
        <v>554</v>
      </c>
      <c r="B701">
        <v>0.78</v>
      </c>
    </row>
    <row r="702" spans="1:3" x14ac:dyDescent="0.25">
      <c r="A702" t="s">
        <v>555</v>
      </c>
      <c r="B702">
        <v>-26.25</v>
      </c>
    </row>
    <row r="703" spans="1:3" x14ac:dyDescent="0.25">
      <c r="A703" t="s">
        <v>556</v>
      </c>
      <c r="B703">
        <v>-26.32</v>
      </c>
    </row>
    <row r="704" spans="1:3" x14ac:dyDescent="0.25">
      <c r="A704" t="s">
        <v>557</v>
      </c>
      <c r="B704" s="2">
        <v>38309</v>
      </c>
    </row>
    <row r="705" spans="1:3" x14ac:dyDescent="0.25">
      <c r="A705" t="s">
        <v>558</v>
      </c>
      <c r="B705" t="s">
        <v>590</v>
      </c>
    </row>
    <row r="707" spans="1:3" x14ac:dyDescent="0.25">
      <c r="A707" t="s">
        <v>513</v>
      </c>
      <c r="B707" t="s">
        <v>514</v>
      </c>
      <c r="C707" t="s">
        <v>147</v>
      </c>
    </row>
    <row r="708" spans="1:3" x14ac:dyDescent="0.25">
      <c r="A708" t="s">
        <v>516</v>
      </c>
      <c r="B708">
        <v>8.5500000000000007</v>
      </c>
    </row>
    <row r="709" spans="1:3" x14ac:dyDescent="0.25">
      <c r="A709" t="s">
        <v>525</v>
      </c>
      <c r="B709">
        <v>8.5299999999999994</v>
      </c>
    </row>
    <row r="710" spans="1:3" x14ac:dyDescent="0.25">
      <c r="A710" t="s">
        <v>526</v>
      </c>
      <c r="B710">
        <v>8.8000000000000007</v>
      </c>
    </row>
    <row r="711" spans="1:3" x14ac:dyDescent="0.25">
      <c r="A711" t="s">
        <v>527</v>
      </c>
      <c r="B711">
        <v>8.5299999999999994</v>
      </c>
    </row>
    <row r="712" spans="1:3" x14ac:dyDescent="0.25">
      <c r="A712" t="s">
        <v>528</v>
      </c>
      <c r="B712" s="21">
        <v>234956</v>
      </c>
    </row>
    <row r="713" spans="1:3" x14ac:dyDescent="0.25">
      <c r="A713" t="s">
        <v>529</v>
      </c>
      <c r="B713" s="22">
        <v>369498.56</v>
      </c>
    </row>
    <row r="714" spans="1:3" x14ac:dyDescent="0.25">
      <c r="A714" t="s">
        <v>530</v>
      </c>
      <c r="B714">
        <v>0</v>
      </c>
    </row>
    <row r="715" spans="1:3" x14ac:dyDescent="0.25">
      <c r="A715" t="s">
        <v>531</v>
      </c>
      <c r="B715" t="s">
        <v>532</v>
      </c>
    </row>
    <row r="716" spans="1:3" x14ac:dyDescent="0.25">
      <c r="A716" t="s">
        <v>533</v>
      </c>
      <c r="B716">
        <v>0</v>
      </c>
    </row>
    <row r="717" spans="1:3" x14ac:dyDescent="0.25">
      <c r="A717" t="s">
        <v>534</v>
      </c>
      <c r="B717" t="s">
        <v>532</v>
      </c>
    </row>
    <row r="718" spans="1:3" x14ac:dyDescent="0.25">
      <c r="A718" t="s">
        <v>535</v>
      </c>
      <c r="B718">
        <v>10.07</v>
      </c>
    </row>
    <row r="719" spans="1:3" x14ac:dyDescent="0.25">
      <c r="A719" t="s">
        <v>536</v>
      </c>
      <c r="B719">
        <v>6.28</v>
      </c>
    </row>
    <row r="720" spans="1:3" x14ac:dyDescent="0.25">
      <c r="A720" t="s">
        <v>537</v>
      </c>
      <c r="B720" t="s">
        <v>532</v>
      </c>
    </row>
    <row r="721" spans="1:3" x14ac:dyDescent="0.25">
      <c r="A721" t="s">
        <v>520</v>
      </c>
      <c r="B721">
        <v>1.25</v>
      </c>
    </row>
    <row r="723" spans="1:3" x14ac:dyDescent="0.25">
      <c r="A723" t="s">
        <v>513</v>
      </c>
      <c r="B723" t="s">
        <v>514</v>
      </c>
      <c r="C723" t="s">
        <v>114</v>
      </c>
    </row>
    <row r="724" spans="1:3" x14ac:dyDescent="0.25">
      <c r="A724" t="s">
        <v>516</v>
      </c>
      <c r="B724">
        <v>83.3</v>
      </c>
    </row>
    <row r="725" spans="1:3" x14ac:dyDescent="0.25">
      <c r="A725" t="s">
        <v>525</v>
      </c>
      <c r="B725">
        <v>83.32</v>
      </c>
    </row>
    <row r="726" spans="1:3" x14ac:dyDescent="0.25">
      <c r="A726" t="s">
        <v>526</v>
      </c>
      <c r="B726">
        <v>83.92</v>
      </c>
    </row>
    <row r="727" spans="1:3" x14ac:dyDescent="0.25">
      <c r="A727" t="s">
        <v>527</v>
      </c>
      <c r="B727">
        <v>83.23</v>
      </c>
    </row>
    <row r="728" spans="1:3" x14ac:dyDescent="0.25">
      <c r="A728" t="s">
        <v>528</v>
      </c>
      <c r="B728" t="s">
        <v>619</v>
      </c>
    </row>
    <row r="729" spans="1:3" x14ac:dyDescent="0.25">
      <c r="A729" t="s">
        <v>529</v>
      </c>
      <c r="B729" t="s">
        <v>620</v>
      </c>
    </row>
    <row r="730" spans="1:3" x14ac:dyDescent="0.25">
      <c r="A730" t="s">
        <v>530</v>
      </c>
      <c r="B730">
        <v>83.51</v>
      </c>
    </row>
    <row r="731" spans="1:3" x14ac:dyDescent="0.25">
      <c r="A731" t="s">
        <v>531</v>
      </c>
      <c r="B731">
        <v>700</v>
      </c>
    </row>
    <row r="732" spans="1:3" x14ac:dyDescent="0.25">
      <c r="A732" t="s">
        <v>533</v>
      </c>
      <c r="B732">
        <v>83.77</v>
      </c>
    </row>
    <row r="733" spans="1:3" x14ac:dyDescent="0.25">
      <c r="A733" t="s">
        <v>534</v>
      </c>
      <c r="B733">
        <v>300</v>
      </c>
    </row>
    <row r="734" spans="1:3" x14ac:dyDescent="0.25">
      <c r="A734" t="s">
        <v>535</v>
      </c>
      <c r="B734">
        <v>86.53</v>
      </c>
    </row>
    <row r="735" spans="1:3" x14ac:dyDescent="0.25">
      <c r="A735" t="s">
        <v>536</v>
      </c>
      <c r="B735">
        <v>55.88</v>
      </c>
    </row>
    <row r="736" spans="1:3" x14ac:dyDescent="0.25">
      <c r="A736" t="s">
        <v>537</v>
      </c>
      <c r="B736">
        <v>0.92</v>
      </c>
    </row>
    <row r="737" spans="1:3" x14ac:dyDescent="0.25">
      <c r="A737" t="s">
        <v>520</v>
      </c>
      <c r="B737">
        <v>1.1000000000000001</v>
      </c>
    </row>
    <row r="739" spans="1:3" x14ac:dyDescent="0.25">
      <c r="A739" t="s">
        <v>513</v>
      </c>
      <c r="B739" t="s">
        <v>514</v>
      </c>
      <c r="C739" t="s">
        <v>148</v>
      </c>
    </row>
    <row r="740" spans="1:3" x14ac:dyDescent="0.25">
      <c r="A740" t="s">
        <v>516</v>
      </c>
      <c r="B740">
        <v>43.5</v>
      </c>
    </row>
    <row r="741" spans="1:3" x14ac:dyDescent="0.25">
      <c r="A741" t="s">
        <v>525</v>
      </c>
      <c r="B741">
        <v>43.52</v>
      </c>
    </row>
    <row r="742" spans="1:3" x14ac:dyDescent="0.25">
      <c r="A742" t="s">
        <v>526</v>
      </c>
      <c r="B742">
        <v>43.83</v>
      </c>
    </row>
    <row r="743" spans="1:3" x14ac:dyDescent="0.25">
      <c r="A743" t="s">
        <v>527</v>
      </c>
      <c r="B743">
        <v>43.49</v>
      </c>
    </row>
    <row r="744" spans="1:3" x14ac:dyDescent="0.25">
      <c r="A744" t="s">
        <v>528</v>
      </c>
      <c r="B744" t="s">
        <v>605</v>
      </c>
    </row>
    <row r="745" spans="1:3" x14ac:dyDescent="0.25">
      <c r="A745" t="s">
        <v>529</v>
      </c>
      <c r="B745" t="s">
        <v>606</v>
      </c>
    </row>
    <row r="746" spans="1:3" x14ac:dyDescent="0.25">
      <c r="A746" t="s">
        <v>530</v>
      </c>
      <c r="B746">
        <v>43.64</v>
      </c>
    </row>
    <row r="747" spans="1:3" x14ac:dyDescent="0.25">
      <c r="A747" t="s">
        <v>531</v>
      </c>
      <c r="B747">
        <v>400</v>
      </c>
    </row>
    <row r="748" spans="1:3" x14ac:dyDescent="0.25">
      <c r="A748" t="s">
        <v>533</v>
      </c>
      <c r="B748">
        <v>43.9</v>
      </c>
    </row>
    <row r="749" spans="1:3" x14ac:dyDescent="0.25">
      <c r="A749" t="s">
        <v>534</v>
      </c>
      <c r="B749">
        <v>300</v>
      </c>
    </row>
    <row r="750" spans="1:3" x14ac:dyDescent="0.25">
      <c r="A750" t="s">
        <v>535</v>
      </c>
      <c r="B750">
        <v>44.79</v>
      </c>
    </row>
    <row r="751" spans="1:3" x14ac:dyDescent="0.25">
      <c r="A751" t="s">
        <v>536</v>
      </c>
      <c r="B751">
        <v>33.020000000000003</v>
      </c>
    </row>
    <row r="752" spans="1:3" x14ac:dyDescent="0.25">
      <c r="A752" t="s">
        <v>537</v>
      </c>
      <c r="B752">
        <v>1.2</v>
      </c>
    </row>
    <row r="753" spans="1:3" x14ac:dyDescent="0.25">
      <c r="A753" t="s">
        <v>520</v>
      </c>
      <c r="B753">
        <v>2.76</v>
      </c>
    </row>
    <row r="755" spans="1:3" x14ac:dyDescent="0.25">
      <c r="A755" t="s">
        <v>513</v>
      </c>
      <c r="B755" t="s">
        <v>514</v>
      </c>
      <c r="C755" t="s">
        <v>157</v>
      </c>
    </row>
    <row r="756" spans="1:3" x14ac:dyDescent="0.25">
      <c r="A756" t="s">
        <v>516</v>
      </c>
      <c r="B756">
        <v>0.05</v>
      </c>
    </row>
    <row r="757" spans="1:3" x14ac:dyDescent="0.25">
      <c r="A757" t="s">
        <v>525</v>
      </c>
      <c r="B757">
        <v>0.05</v>
      </c>
    </row>
    <row r="758" spans="1:3" x14ac:dyDescent="0.25">
      <c r="A758" t="s">
        <v>526</v>
      </c>
      <c r="B758">
        <v>0.05</v>
      </c>
    </row>
    <row r="759" spans="1:3" x14ac:dyDescent="0.25">
      <c r="A759" t="s">
        <v>527</v>
      </c>
      <c r="B759">
        <v>0.04</v>
      </c>
    </row>
    <row r="760" spans="1:3" x14ac:dyDescent="0.25">
      <c r="A760" t="s">
        <v>528</v>
      </c>
      <c r="B760" s="21">
        <v>29639</v>
      </c>
    </row>
    <row r="761" spans="1:3" x14ac:dyDescent="0.25">
      <c r="A761" t="s">
        <v>529</v>
      </c>
      <c r="B761" s="22">
        <v>27425.200000000001</v>
      </c>
    </row>
    <row r="762" spans="1:3" x14ac:dyDescent="0.25">
      <c r="A762" t="s">
        <v>530</v>
      </c>
      <c r="B762">
        <v>0</v>
      </c>
    </row>
    <row r="763" spans="1:3" x14ac:dyDescent="0.25">
      <c r="A763" t="s">
        <v>531</v>
      </c>
      <c r="B763" s="21" t="s">
        <v>532</v>
      </c>
    </row>
    <row r="764" spans="1:3" x14ac:dyDescent="0.25">
      <c r="A764" t="s">
        <v>533</v>
      </c>
      <c r="B764">
        <v>0</v>
      </c>
    </row>
    <row r="765" spans="1:3" x14ac:dyDescent="0.25">
      <c r="A765" t="s">
        <v>534</v>
      </c>
      <c r="B765" s="21" t="s">
        <v>532</v>
      </c>
    </row>
    <row r="766" spans="1:3" x14ac:dyDescent="0.25">
      <c r="A766" t="s">
        <v>535</v>
      </c>
      <c r="B766">
        <v>7.0000000000000007E-2</v>
      </c>
    </row>
    <row r="767" spans="1:3" x14ac:dyDescent="0.25">
      <c r="A767" t="s">
        <v>536</v>
      </c>
      <c r="B767">
        <v>0.02</v>
      </c>
    </row>
    <row r="768" spans="1:3" x14ac:dyDescent="0.25">
      <c r="A768" t="s">
        <v>537</v>
      </c>
      <c r="B768" t="s">
        <v>532</v>
      </c>
    </row>
    <row r="769" spans="1:3" x14ac:dyDescent="0.25">
      <c r="A769" t="s">
        <v>520</v>
      </c>
      <c r="B769" t="s">
        <v>532</v>
      </c>
    </row>
    <row r="771" spans="1:3" x14ac:dyDescent="0.25">
      <c r="A771" t="s">
        <v>513</v>
      </c>
      <c r="B771" t="s">
        <v>514</v>
      </c>
      <c r="C771" t="s">
        <v>163</v>
      </c>
    </row>
    <row r="772" spans="1:3" x14ac:dyDescent="0.25">
      <c r="A772" t="s">
        <v>516</v>
      </c>
      <c r="B772">
        <v>8.18</v>
      </c>
    </row>
    <row r="773" spans="1:3" x14ac:dyDescent="0.25">
      <c r="A773" t="s">
        <v>525</v>
      </c>
      <c r="B773">
        <v>8.2200000000000006</v>
      </c>
    </row>
    <row r="774" spans="1:3" x14ac:dyDescent="0.25">
      <c r="A774" t="s">
        <v>526</v>
      </c>
      <c r="B774">
        <v>8.27</v>
      </c>
    </row>
    <row r="775" spans="1:3" x14ac:dyDescent="0.25">
      <c r="A775" t="s">
        <v>527</v>
      </c>
      <c r="B775">
        <v>8.08</v>
      </c>
    </row>
    <row r="776" spans="1:3" x14ac:dyDescent="0.25">
      <c r="A776" t="s">
        <v>528</v>
      </c>
      <c r="B776" s="21">
        <v>368437</v>
      </c>
    </row>
    <row r="777" spans="1:3" x14ac:dyDescent="0.25">
      <c r="A777" t="s">
        <v>529</v>
      </c>
      <c r="B777" s="22">
        <v>439033.16</v>
      </c>
    </row>
    <row r="778" spans="1:3" x14ac:dyDescent="0.25">
      <c r="A778" t="s">
        <v>530</v>
      </c>
      <c r="B778">
        <v>8.1999999999999993</v>
      </c>
    </row>
    <row r="779" spans="1:3" x14ac:dyDescent="0.25">
      <c r="A779" t="s">
        <v>531</v>
      </c>
      <c r="B779">
        <v>100</v>
      </c>
    </row>
    <row r="780" spans="1:3" x14ac:dyDescent="0.25">
      <c r="A780" t="s">
        <v>533</v>
      </c>
      <c r="B780">
        <v>8.8800000000000008</v>
      </c>
    </row>
    <row r="781" spans="1:3" x14ac:dyDescent="0.25">
      <c r="A781" t="s">
        <v>534</v>
      </c>
      <c r="B781">
        <v>500</v>
      </c>
    </row>
    <row r="782" spans="1:3" x14ac:dyDescent="0.25">
      <c r="A782" t="s">
        <v>535</v>
      </c>
      <c r="B782">
        <v>8.85</v>
      </c>
    </row>
    <row r="783" spans="1:3" x14ac:dyDescent="0.25">
      <c r="A783" t="s">
        <v>536</v>
      </c>
      <c r="B783">
        <v>4.99</v>
      </c>
    </row>
    <row r="784" spans="1:3" x14ac:dyDescent="0.25">
      <c r="A784" t="s">
        <v>537</v>
      </c>
      <c r="B784" t="s">
        <v>532</v>
      </c>
    </row>
    <row r="785" spans="1:3" x14ac:dyDescent="0.25">
      <c r="A785" t="s">
        <v>520</v>
      </c>
      <c r="B785" t="s">
        <v>532</v>
      </c>
    </row>
    <row r="787" spans="1:3" x14ac:dyDescent="0.25">
      <c r="A787" t="s">
        <v>513</v>
      </c>
      <c r="B787" t="s">
        <v>514</v>
      </c>
      <c r="C787" t="s">
        <v>565</v>
      </c>
    </row>
    <row r="788" spans="1:3" x14ac:dyDescent="0.25">
      <c r="A788" t="s">
        <v>516</v>
      </c>
      <c r="B788">
        <v>2.15</v>
      </c>
    </row>
    <row r="789" spans="1:3" x14ac:dyDescent="0.25">
      <c r="A789" t="s">
        <v>525</v>
      </c>
      <c r="B789">
        <v>2.15</v>
      </c>
    </row>
    <row r="790" spans="1:3" x14ac:dyDescent="0.25">
      <c r="A790" t="s">
        <v>526</v>
      </c>
      <c r="B790">
        <v>2.2000000000000002</v>
      </c>
    </row>
    <row r="791" spans="1:3" x14ac:dyDescent="0.25">
      <c r="A791" t="s">
        <v>527</v>
      </c>
      <c r="B791">
        <v>2.15</v>
      </c>
    </row>
    <row r="792" spans="1:3" x14ac:dyDescent="0.25">
      <c r="A792" t="s">
        <v>528</v>
      </c>
      <c r="B792" s="21">
        <v>17746</v>
      </c>
    </row>
    <row r="793" spans="1:3" x14ac:dyDescent="0.25">
      <c r="A793" t="s">
        <v>529</v>
      </c>
      <c r="B793" s="22">
        <v>89120.7</v>
      </c>
    </row>
    <row r="794" spans="1:3" x14ac:dyDescent="0.25">
      <c r="A794" t="s">
        <v>530</v>
      </c>
      <c r="B794">
        <v>2.16</v>
      </c>
    </row>
    <row r="795" spans="1:3" x14ac:dyDescent="0.25">
      <c r="A795" t="s">
        <v>531</v>
      </c>
      <c r="B795">
        <v>200</v>
      </c>
    </row>
    <row r="796" spans="1:3" x14ac:dyDescent="0.25">
      <c r="A796" t="s">
        <v>533</v>
      </c>
      <c r="B796">
        <v>2.2799999999999998</v>
      </c>
    </row>
    <row r="797" spans="1:3" x14ac:dyDescent="0.25">
      <c r="A797" t="s">
        <v>534</v>
      </c>
      <c r="B797">
        <v>200</v>
      </c>
    </row>
    <row r="798" spans="1:3" x14ac:dyDescent="0.25">
      <c r="A798" t="s">
        <v>535</v>
      </c>
      <c r="B798">
        <v>2.2999999999999998</v>
      </c>
    </row>
    <row r="799" spans="1:3" x14ac:dyDescent="0.25">
      <c r="A799" t="s">
        <v>536</v>
      </c>
      <c r="B799">
        <v>1.27</v>
      </c>
    </row>
    <row r="800" spans="1:3" x14ac:dyDescent="0.25">
      <c r="A800" t="s">
        <v>537</v>
      </c>
      <c r="B800" t="s">
        <v>532</v>
      </c>
    </row>
    <row r="801" spans="1:3" x14ac:dyDescent="0.25">
      <c r="A801" t="s">
        <v>520</v>
      </c>
      <c r="B801" t="s">
        <v>532</v>
      </c>
    </row>
    <row r="803" spans="1:3" x14ac:dyDescent="0.25">
      <c r="A803" t="s">
        <v>513</v>
      </c>
      <c r="B803" t="s">
        <v>514</v>
      </c>
      <c r="C803" t="s">
        <v>171</v>
      </c>
    </row>
    <row r="804" spans="1:3" x14ac:dyDescent="0.25">
      <c r="A804" t="s">
        <v>516</v>
      </c>
      <c r="B804">
        <v>0.72</v>
      </c>
    </row>
    <row r="805" spans="1:3" x14ac:dyDescent="0.25">
      <c r="A805" t="s">
        <v>525</v>
      </c>
      <c r="B805">
        <v>0.7</v>
      </c>
    </row>
    <row r="806" spans="1:3" x14ac:dyDescent="0.25">
      <c r="A806" t="s">
        <v>526</v>
      </c>
      <c r="B806">
        <v>0.79</v>
      </c>
    </row>
    <row r="807" spans="1:3" x14ac:dyDescent="0.25">
      <c r="A807" t="s">
        <v>527</v>
      </c>
      <c r="B807">
        <v>0.7</v>
      </c>
    </row>
    <row r="808" spans="1:3" x14ac:dyDescent="0.25">
      <c r="A808" t="s">
        <v>528</v>
      </c>
      <c r="B808" s="21">
        <v>305917</v>
      </c>
    </row>
    <row r="809" spans="1:3" x14ac:dyDescent="0.25">
      <c r="A809" t="s">
        <v>529</v>
      </c>
      <c r="B809" s="22">
        <v>134810.79999999999</v>
      </c>
    </row>
    <row r="810" spans="1:3" x14ac:dyDescent="0.25">
      <c r="A810" t="s">
        <v>530</v>
      </c>
      <c r="B810">
        <v>0.76</v>
      </c>
    </row>
    <row r="811" spans="1:3" x14ac:dyDescent="0.25">
      <c r="A811" t="s">
        <v>531</v>
      </c>
      <c r="B811">
        <v>100</v>
      </c>
    </row>
    <row r="812" spans="1:3" x14ac:dyDescent="0.25">
      <c r="A812" t="s">
        <v>533</v>
      </c>
      <c r="B812">
        <v>0</v>
      </c>
    </row>
    <row r="813" spans="1:3" x14ac:dyDescent="0.25">
      <c r="A813" t="s">
        <v>534</v>
      </c>
      <c r="B813">
        <v>600</v>
      </c>
    </row>
    <row r="814" spans="1:3" x14ac:dyDescent="0.25">
      <c r="A814" t="s">
        <v>535</v>
      </c>
      <c r="B814">
        <v>1.4</v>
      </c>
    </row>
    <row r="815" spans="1:3" x14ac:dyDescent="0.25">
      <c r="A815" t="s">
        <v>536</v>
      </c>
      <c r="B815">
        <v>0.61</v>
      </c>
    </row>
    <row r="816" spans="1:3" x14ac:dyDescent="0.25">
      <c r="A816" t="s">
        <v>537</v>
      </c>
      <c r="B816" t="s">
        <v>532</v>
      </c>
    </row>
    <row r="817" spans="1:3" x14ac:dyDescent="0.25">
      <c r="A817" t="s">
        <v>520</v>
      </c>
      <c r="B817" t="s">
        <v>532</v>
      </c>
    </row>
    <row r="819" spans="1:3" x14ac:dyDescent="0.25">
      <c r="A819" t="s">
        <v>513</v>
      </c>
      <c r="B819" t="s">
        <v>514</v>
      </c>
      <c r="C819" t="s">
        <v>174</v>
      </c>
    </row>
    <row r="820" spans="1:3" x14ac:dyDescent="0.25">
      <c r="A820" t="s">
        <v>516</v>
      </c>
      <c r="B820">
        <v>0.25</v>
      </c>
    </row>
    <row r="821" spans="1:3" x14ac:dyDescent="0.25">
      <c r="A821" t="s">
        <v>525</v>
      </c>
      <c r="B821">
        <v>0.24</v>
      </c>
    </row>
    <row r="822" spans="1:3" x14ac:dyDescent="0.25">
      <c r="A822" t="s">
        <v>526</v>
      </c>
      <c r="B822">
        <v>0.24</v>
      </c>
    </row>
    <row r="823" spans="1:3" x14ac:dyDescent="0.25">
      <c r="A823" t="s">
        <v>527</v>
      </c>
      <c r="B823">
        <v>0.22</v>
      </c>
    </row>
    <row r="824" spans="1:3" x14ac:dyDescent="0.25">
      <c r="A824" t="s">
        <v>528</v>
      </c>
      <c r="B824" s="21" t="s">
        <v>632</v>
      </c>
    </row>
    <row r="825" spans="1:3" x14ac:dyDescent="0.25">
      <c r="A825" t="s">
        <v>529</v>
      </c>
      <c r="B825" t="s">
        <v>617</v>
      </c>
    </row>
    <row r="826" spans="1:3" x14ac:dyDescent="0.25">
      <c r="A826" t="s">
        <v>530</v>
      </c>
      <c r="B826">
        <v>0</v>
      </c>
    </row>
    <row r="827" spans="1:3" x14ac:dyDescent="0.25">
      <c r="A827" t="s">
        <v>531</v>
      </c>
      <c r="B827">
        <v>200</v>
      </c>
    </row>
    <row r="828" spans="1:3" x14ac:dyDescent="0.25">
      <c r="A828" t="s">
        <v>533</v>
      </c>
      <c r="B828">
        <v>0.24</v>
      </c>
    </row>
    <row r="829" spans="1:3" x14ac:dyDescent="0.25">
      <c r="A829" t="s">
        <v>534</v>
      </c>
      <c r="B829">
        <v>100</v>
      </c>
    </row>
    <row r="830" spans="1:3" x14ac:dyDescent="0.25">
      <c r="A830" t="s">
        <v>535</v>
      </c>
      <c r="B830">
        <v>2.19</v>
      </c>
    </row>
    <row r="831" spans="1:3" x14ac:dyDescent="0.25">
      <c r="A831" t="s">
        <v>536</v>
      </c>
      <c r="B831">
        <v>0.22</v>
      </c>
    </row>
    <row r="832" spans="1:3" x14ac:dyDescent="0.25">
      <c r="A832" t="s">
        <v>537</v>
      </c>
      <c r="B832" t="s">
        <v>532</v>
      </c>
    </row>
    <row r="833" spans="1:3" x14ac:dyDescent="0.25">
      <c r="A833" t="s">
        <v>520</v>
      </c>
      <c r="B833" t="s">
        <v>532</v>
      </c>
    </row>
    <row r="835" spans="1:3" x14ac:dyDescent="0.25">
      <c r="A835" t="s">
        <v>513</v>
      </c>
      <c r="B835" t="s">
        <v>514</v>
      </c>
      <c r="C835" t="s">
        <v>82</v>
      </c>
    </row>
    <row r="836" spans="1:3" x14ac:dyDescent="0.25">
      <c r="A836" t="s">
        <v>516</v>
      </c>
      <c r="B836">
        <v>0.17</v>
      </c>
    </row>
    <row r="837" spans="1:3" x14ac:dyDescent="0.25">
      <c r="A837" t="s">
        <v>525</v>
      </c>
      <c r="B837">
        <v>0.19</v>
      </c>
    </row>
    <row r="838" spans="1:3" x14ac:dyDescent="0.25">
      <c r="A838" t="s">
        <v>526</v>
      </c>
      <c r="B838">
        <v>0.19</v>
      </c>
    </row>
    <row r="839" spans="1:3" x14ac:dyDescent="0.25">
      <c r="A839" t="s">
        <v>527</v>
      </c>
      <c r="B839">
        <v>0.17</v>
      </c>
    </row>
    <row r="840" spans="1:3" x14ac:dyDescent="0.25">
      <c r="A840" t="s">
        <v>528</v>
      </c>
      <c r="B840" s="21">
        <v>800</v>
      </c>
    </row>
    <row r="841" spans="1:3" x14ac:dyDescent="0.25">
      <c r="A841" t="s">
        <v>529</v>
      </c>
      <c r="B841" t="s">
        <v>532</v>
      </c>
    </row>
    <row r="842" spans="1:3" x14ac:dyDescent="0.25">
      <c r="A842" t="s">
        <v>530</v>
      </c>
      <c r="B842">
        <v>0</v>
      </c>
    </row>
    <row r="843" spans="1:3" x14ac:dyDescent="0.25">
      <c r="A843" t="s">
        <v>531</v>
      </c>
      <c r="B843" s="21" t="s">
        <v>532</v>
      </c>
    </row>
    <row r="844" spans="1:3" x14ac:dyDescent="0.25">
      <c r="A844" t="s">
        <v>533</v>
      </c>
      <c r="B844">
        <v>0</v>
      </c>
    </row>
    <row r="845" spans="1:3" x14ac:dyDescent="0.25">
      <c r="A845" t="s">
        <v>534</v>
      </c>
      <c r="B845" s="21" t="s">
        <v>532</v>
      </c>
    </row>
    <row r="846" spans="1:3" x14ac:dyDescent="0.25">
      <c r="A846" t="s">
        <v>535</v>
      </c>
      <c r="B846">
        <v>0.25</v>
      </c>
    </row>
    <row r="847" spans="1:3" x14ac:dyDescent="0.25">
      <c r="A847" t="s">
        <v>536</v>
      </c>
      <c r="B847">
        <v>0.11</v>
      </c>
    </row>
    <row r="848" spans="1:3" x14ac:dyDescent="0.25">
      <c r="A848" t="s">
        <v>537</v>
      </c>
      <c r="B848" t="s">
        <v>532</v>
      </c>
    </row>
    <row r="849" spans="1:3" x14ac:dyDescent="0.25">
      <c r="A849" t="s">
        <v>520</v>
      </c>
      <c r="B849" t="s">
        <v>532</v>
      </c>
    </row>
    <row r="851" spans="1:3" x14ac:dyDescent="0.25">
      <c r="A851" t="s">
        <v>513</v>
      </c>
      <c r="B851" t="s">
        <v>514</v>
      </c>
      <c r="C851" t="s">
        <v>186</v>
      </c>
    </row>
    <row r="852" spans="1:3" x14ac:dyDescent="0.25">
      <c r="A852" t="s">
        <v>516</v>
      </c>
      <c r="B852">
        <v>24.1</v>
      </c>
    </row>
    <row r="853" spans="1:3" x14ac:dyDescent="0.25">
      <c r="A853" t="s">
        <v>525</v>
      </c>
      <c r="B853">
        <v>24.1</v>
      </c>
    </row>
    <row r="854" spans="1:3" x14ac:dyDescent="0.25">
      <c r="A854" t="s">
        <v>526</v>
      </c>
      <c r="B854">
        <v>24.8</v>
      </c>
    </row>
    <row r="855" spans="1:3" x14ac:dyDescent="0.25">
      <c r="A855" t="s">
        <v>527</v>
      </c>
      <c r="B855">
        <v>23.75</v>
      </c>
    </row>
    <row r="856" spans="1:3" x14ac:dyDescent="0.25">
      <c r="A856" t="s">
        <v>528</v>
      </c>
      <c r="B856" s="21" t="s">
        <v>574</v>
      </c>
    </row>
    <row r="857" spans="1:3" x14ac:dyDescent="0.25">
      <c r="A857" t="s">
        <v>529</v>
      </c>
      <c r="B857" t="s">
        <v>621</v>
      </c>
    </row>
    <row r="858" spans="1:3" x14ac:dyDescent="0.25">
      <c r="A858" t="s">
        <v>530</v>
      </c>
      <c r="B858">
        <v>0</v>
      </c>
    </row>
    <row r="859" spans="1:3" x14ac:dyDescent="0.25">
      <c r="A859" t="s">
        <v>531</v>
      </c>
      <c r="B859" t="s">
        <v>532</v>
      </c>
    </row>
    <row r="860" spans="1:3" x14ac:dyDescent="0.25">
      <c r="A860" t="s">
        <v>533</v>
      </c>
      <c r="B860">
        <v>0</v>
      </c>
    </row>
    <row r="861" spans="1:3" x14ac:dyDescent="0.25">
      <c r="A861" t="s">
        <v>534</v>
      </c>
      <c r="B861" t="s">
        <v>532</v>
      </c>
    </row>
    <row r="862" spans="1:3" x14ac:dyDescent="0.25">
      <c r="A862" t="s">
        <v>535</v>
      </c>
      <c r="B862">
        <v>35.72</v>
      </c>
    </row>
    <row r="863" spans="1:3" x14ac:dyDescent="0.25">
      <c r="A863" t="s">
        <v>536</v>
      </c>
      <c r="B863">
        <v>7.35</v>
      </c>
    </row>
    <row r="864" spans="1:3" x14ac:dyDescent="0.25">
      <c r="A864" t="s">
        <v>537</v>
      </c>
      <c r="B864" t="s">
        <v>532</v>
      </c>
    </row>
    <row r="865" spans="1:3" x14ac:dyDescent="0.25">
      <c r="A865" t="s">
        <v>520</v>
      </c>
      <c r="B865" t="s">
        <v>532</v>
      </c>
    </row>
    <row r="867" spans="1:3" x14ac:dyDescent="0.25">
      <c r="A867" t="s">
        <v>513</v>
      </c>
      <c r="B867" t="s">
        <v>514</v>
      </c>
      <c r="C867" t="s">
        <v>199</v>
      </c>
    </row>
    <row r="868" spans="1:3" x14ac:dyDescent="0.25">
      <c r="A868" t="s">
        <v>516</v>
      </c>
      <c r="B868">
        <v>6.38</v>
      </c>
    </row>
    <row r="869" spans="1:3" x14ac:dyDescent="0.25">
      <c r="A869" t="s">
        <v>525</v>
      </c>
      <c r="B869">
        <v>6.37</v>
      </c>
    </row>
    <row r="870" spans="1:3" x14ac:dyDescent="0.25">
      <c r="A870" t="s">
        <v>526</v>
      </c>
      <c r="B870">
        <v>6.55</v>
      </c>
    </row>
    <row r="871" spans="1:3" x14ac:dyDescent="0.25">
      <c r="A871" t="s">
        <v>527</v>
      </c>
      <c r="B871">
        <v>6.37</v>
      </c>
    </row>
    <row r="872" spans="1:3" x14ac:dyDescent="0.25">
      <c r="A872" t="s">
        <v>528</v>
      </c>
      <c r="B872" s="21">
        <v>27698</v>
      </c>
    </row>
    <row r="873" spans="1:3" x14ac:dyDescent="0.25">
      <c r="A873" t="s">
        <v>529</v>
      </c>
      <c r="B873" s="22">
        <v>70474.880000000005</v>
      </c>
    </row>
    <row r="874" spans="1:3" x14ac:dyDescent="0.25">
      <c r="A874" t="s">
        <v>530</v>
      </c>
      <c r="B874">
        <v>6.41</v>
      </c>
    </row>
    <row r="875" spans="1:3" x14ac:dyDescent="0.25">
      <c r="A875" t="s">
        <v>531</v>
      </c>
      <c r="B875">
        <v>100</v>
      </c>
    </row>
    <row r="876" spans="1:3" x14ac:dyDescent="0.25">
      <c r="A876" t="s">
        <v>533</v>
      </c>
      <c r="B876">
        <v>0</v>
      </c>
    </row>
    <row r="877" spans="1:3" x14ac:dyDescent="0.25">
      <c r="A877" t="s">
        <v>534</v>
      </c>
      <c r="B877" t="s">
        <v>532</v>
      </c>
    </row>
    <row r="878" spans="1:3" x14ac:dyDescent="0.25">
      <c r="A878" t="s">
        <v>535</v>
      </c>
      <c r="B878">
        <v>8.3699999999999992</v>
      </c>
    </row>
    <row r="879" spans="1:3" x14ac:dyDescent="0.25">
      <c r="A879" t="s">
        <v>536</v>
      </c>
      <c r="B879">
        <v>4.46</v>
      </c>
    </row>
    <row r="880" spans="1:3" x14ac:dyDescent="0.25">
      <c r="A880" t="s">
        <v>537</v>
      </c>
      <c r="B880" t="s">
        <v>532</v>
      </c>
    </row>
    <row r="881" spans="1:3" x14ac:dyDescent="0.25">
      <c r="A881" t="s">
        <v>520</v>
      </c>
      <c r="B881" t="s">
        <v>532</v>
      </c>
    </row>
    <row r="883" spans="1:3" x14ac:dyDescent="0.25">
      <c r="A883" t="s">
        <v>513</v>
      </c>
      <c r="B883" t="s">
        <v>514</v>
      </c>
      <c r="C883" t="s">
        <v>201</v>
      </c>
    </row>
    <row r="884" spans="1:3" x14ac:dyDescent="0.25">
      <c r="A884" t="s">
        <v>516</v>
      </c>
      <c r="B884">
        <v>12.87</v>
      </c>
    </row>
    <row r="885" spans="1:3" x14ac:dyDescent="0.25">
      <c r="A885" t="s">
        <v>525</v>
      </c>
      <c r="B885">
        <v>12.86</v>
      </c>
    </row>
    <row r="886" spans="1:3" x14ac:dyDescent="0.25">
      <c r="A886" t="s">
        <v>526</v>
      </c>
      <c r="B886">
        <v>13.09</v>
      </c>
    </row>
    <row r="887" spans="1:3" x14ac:dyDescent="0.25">
      <c r="A887" t="s">
        <v>527</v>
      </c>
      <c r="B887">
        <v>12.82</v>
      </c>
    </row>
    <row r="888" spans="1:3" x14ac:dyDescent="0.25">
      <c r="A888" t="s">
        <v>528</v>
      </c>
      <c r="B888" s="21">
        <v>7929</v>
      </c>
    </row>
    <row r="889" spans="1:3" x14ac:dyDescent="0.25">
      <c r="A889" t="s">
        <v>529</v>
      </c>
      <c r="B889" s="22">
        <v>54595.34</v>
      </c>
    </row>
    <row r="890" spans="1:3" x14ac:dyDescent="0.25">
      <c r="A890" t="s">
        <v>530</v>
      </c>
      <c r="B890">
        <v>0</v>
      </c>
    </row>
    <row r="891" spans="1:3" x14ac:dyDescent="0.25">
      <c r="A891" t="s">
        <v>531</v>
      </c>
      <c r="B891" t="s">
        <v>532</v>
      </c>
    </row>
    <row r="892" spans="1:3" x14ac:dyDescent="0.25">
      <c r="A892" t="s">
        <v>533</v>
      </c>
      <c r="B892">
        <v>0</v>
      </c>
    </row>
    <row r="893" spans="1:3" x14ac:dyDescent="0.25">
      <c r="A893" t="s">
        <v>534</v>
      </c>
      <c r="B893" t="s">
        <v>532</v>
      </c>
    </row>
    <row r="894" spans="1:3" x14ac:dyDescent="0.25">
      <c r="A894" t="s">
        <v>535</v>
      </c>
      <c r="B894">
        <v>14.8</v>
      </c>
    </row>
    <row r="895" spans="1:3" x14ac:dyDescent="0.25">
      <c r="A895" t="s">
        <v>536</v>
      </c>
      <c r="B895">
        <v>7.7</v>
      </c>
    </row>
    <row r="896" spans="1:3" x14ac:dyDescent="0.25">
      <c r="A896" t="s">
        <v>537</v>
      </c>
      <c r="B896" t="s">
        <v>532</v>
      </c>
    </row>
    <row r="897" spans="1:3" x14ac:dyDescent="0.25">
      <c r="A897" t="s">
        <v>520</v>
      </c>
      <c r="B897" t="s">
        <v>532</v>
      </c>
    </row>
    <row r="899" spans="1:3" x14ac:dyDescent="0.25">
      <c r="A899" t="s">
        <v>513</v>
      </c>
      <c r="B899" t="s">
        <v>514</v>
      </c>
      <c r="C899" t="s">
        <v>566</v>
      </c>
    </row>
    <row r="900" spans="1:3" x14ac:dyDescent="0.25">
      <c r="A900" t="s">
        <v>516</v>
      </c>
      <c r="B900">
        <v>17.05</v>
      </c>
    </row>
    <row r="901" spans="1:3" x14ac:dyDescent="0.25">
      <c r="A901" t="s">
        <v>525</v>
      </c>
      <c r="B901">
        <v>17</v>
      </c>
    </row>
    <row r="902" spans="1:3" x14ac:dyDescent="0.25">
      <c r="A902" t="s">
        <v>526</v>
      </c>
      <c r="B902">
        <v>17.190000000000001</v>
      </c>
    </row>
    <row r="903" spans="1:3" x14ac:dyDescent="0.25">
      <c r="A903" t="s">
        <v>527</v>
      </c>
      <c r="B903">
        <v>16.690000000000001</v>
      </c>
    </row>
    <row r="904" spans="1:3" x14ac:dyDescent="0.25">
      <c r="A904" t="s">
        <v>528</v>
      </c>
      <c r="B904" s="21">
        <v>19860</v>
      </c>
    </row>
    <row r="905" spans="1:3" x14ac:dyDescent="0.25">
      <c r="A905" t="s">
        <v>529</v>
      </c>
      <c r="B905" s="22">
        <v>66711.69</v>
      </c>
    </row>
    <row r="906" spans="1:3" x14ac:dyDescent="0.25">
      <c r="A906" t="s">
        <v>530</v>
      </c>
      <c r="B906">
        <v>0</v>
      </c>
    </row>
    <row r="907" spans="1:3" x14ac:dyDescent="0.25">
      <c r="A907" t="s">
        <v>531</v>
      </c>
      <c r="B907" t="s">
        <v>532</v>
      </c>
    </row>
    <row r="908" spans="1:3" x14ac:dyDescent="0.25">
      <c r="A908" t="s">
        <v>533</v>
      </c>
      <c r="B908">
        <v>0</v>
      </c>
    </row>
    <row r="909" spans="1:3" x14ac:dyDescent="0.25">
      <c r="A909" t="s">
        <v>534</v>
      </c>
      <c r="B909" t="s">
        <v>532</v>
      </c>
    </row>
    <row r="910" spans="1:3" x14ac:dyDescent="0.25">
      <c r="A910" t="s">
        <v>535</v>
      </c>
      <c r="B910">
        <v>20.9</v>
      </c>
    </row>
    <row r="911" spans="1:3" x14ac:dyDescent="0.25">
      <c r="A911" t="s">
        <v>536</v>
      </c>
      <c r="B911">
        <v>7</v>
      </c>
    </row>
    <row r="912" spans="1:3" x14ac:dyDescent="0.25">
      <c r="A912" t="s">
        <v>537</v>
      </c>
      <c r="B912" t="s">
        <v>532</v>
      </c>
    </row>
    <row r="913" spans="1:3" x14ac:dyDescent="0.25">
      <c r="A913" t="s">
        <v>520</v>
      </c>
      <c r="B913" t="s">
        <v>532</v>
      </c>
    </row>
    <row r="915" spans="1:3" x14ac:dyDescent="0.25">
      <c r="A915" t="s">
        <v>513</v>
      </c>
      <c r="B915" t="s">
        <v>514</v>
      </c>
      <c r="C915" t="s">
        <v>209</v>
      </c>
    </row>
    <row r="916" spans="1:3" x14ac:dyDescent="0.25">
      <c r="A916" t="s">
        <v>516</v>
      </c>
      <c r="B916">
        <v>0.77</v>
      </c>
    </row>
    <row r="917" spans="1:3" x14ac:dyDescent="0.25">
      <c r="A917" t="s">
        <v>525</v>
      </c>
      <c r="B917">
        <v>0.77</v>
      </c>
    </row>
    <row r="918" spans="1:3" x14ac:dyDescent="0.25">
      <c r="A918" t="s">
        <v>526</v>
      </c>
      <c r="B918">
        <v>0.84</v>
      </c>
    </row>
    <row r="919" spans="1:3" x14ac:dyDescent="0.25">
      <c r="A919" t="s">
        <v>527</v>
      </c>
      <c r="B919">
        <v>0.77</v>
      </c>
    </row>
    <row r="920" spans="1:3" x14ac:dyDescent="0.25">
      <c r="A920" t="s">
        <v>528</v>
      </c>
      <c r="B920" s="21">
        <v>109137</v>
      </c>
    </row>
    <row r="921" spans="1:3" x14ac:dyDescent="0.25">
      <c r="A921" t="s">
        <v>529</v>
      </c>
      <c r="B921" t="s">
        <v>532</v>
      </c>
    </row>
    <row r="922" spans="1:3" x14ac:dyDescent="0.25">
      <c r="A922" t="s">
        <v>530</v>
      </c>
      <c r="B922">
        <v>0</v>
      </c>
    </row>
    <row r="923" spans="1:3" x14ac:dyDescent="0.25">
      <c r="A923" t="s">
        <v>531</v>
      </c>
      <c r="B923" s="21" t="s">
        <v>532</v>
      </c>
    </row>
    <row r="924" spans="1:3" x14ac:dyDescent="0.25">
      <c r="A924" t="s">
        <v>533</v>
      </c>
      <c r="B924">
        <v>0</v>
      </c>
    </row>
    <row r="925" spans="1:3" x14ac:dyDescent="0.25">
      <c r="A925" t="s">
        <v>534</v>
      </c>
      <c r="B925" s="21" t="s">
        <v>532</v>
      </c>
    </row>
    <row r="926" spans="1:3" x14ac:dyDescent="0.25">
      <c r="A926" t="s">
        <v>535</v>
      </c>
      <c r="B926">
        <v>2.1800000000000002</v>
      </c>
    </row>
    <row r="927" spans="1:3" x14ac:dyDescent="0.25">
      <c r="A927" t="s">
        <v>536</v>
      </c>
      <c r="B927">
        <v>0.32</v>
      </c>
    </row>
    <row r="928" spans="1:3" x14ac:dyDescent="0.25">
      <c r="A928" t="s">
        <v>537</v>
      </c>
      <c r="B928" t="s">
        <v>532</v>
      </c>
    </row>
    <row r="929" spans="1:3" x14ac:dyDescent="0.25">
      <c r="A929" t="s">
        <v>520</v>
      </c>
      <c r="B929" t="s">
        <v>532</v>
      </c>
    </row>
    <row r="931" spans="1:3" x14ac:dyDescent="0.25">
      <c r="A931" t="s">
        <v>513</v>
      </c>
      <c r="B931" t="s">
        <v>514</v>
      </c>
      <c r="C931" t="s">
        <v>210</v>
      </c>
    </row>
    <row r="932" spans="1:3" x14ac:dyDescent="0.25">
      <c r="A932" t="s">
        <v>516</v>
      </c>
      <c r="B932">
        <v>1.67</v>
      </c>
    </row>
    <row r="933" spans="1:3" x14ac:dyDescent="0.25">
      <c r="A933" t="s">
        <v>525</v>
      </c>
      <c r="B933">
        <v>1.65</v>
      </c>
    </row>
    <row r="934" spans="1:3" x14ac:dyDescent="0.25">
      <c r="A934" t="s">
        <v>526</v>
      </c>
      <c r="B934">
        <v>1.68</v>
      </c>
    </row>
    <row r="935" spans="1:3" x14ac:dyDescent="0.25">
      <c r="A935" t="s">
        <v>527</v>
      </c>
      <c r="B935">
        <v>1.64</v>
      </c>
    </row>
    <row r="936" spans="1:3" x14ac:dyDescent="0.25">
      <c r="A936" t="s">
        <v>528</v>
      </c>
      <c r="B936" t="s">
        <v>607</v>
      </c>
    </row>
    <row r="937" spans="1:3" x14ac:dyDescent="0.25">
      <c r="A937" t="s">
        <v>529</v>
      </c>
      <c r="B937" t="s">
        <v>608</v>
      </c>
    </row>
    <row r="938" spans="1:3" x14ac:dyDescent="0.25">
      <c r="A938" t="s">
        <v>530</v>
      </c>
      <c r="B938">
        <v>0</v>
      </c>
    </row>
    <row r="939" spans="1:3" x14ac:dyDescent="0.25">
      <c r="A939" t="s">
        <v>531</v>
      </c>
      <c r="B939" s="21">
        <v>2000</v>
      </c>
    </row>
    <row r="940" spans="1:3" x14ac:dyDescent="0.25">
      <c r="A940" t="s">
        <v>533</v>
      </c>
      <c r="B940">
        <v>3.49</v>
      </c>
    </row>
    <row r="941" spans="1:3" x14ac:dyDescent="0.25">
      <c r="A941" t="s">
        <v>534</v>
      </c>
      <c r="B941" s="21">
        <v>200</v>
      </c>
    </row>
    <row r="942" spans="1:3" x14ac:dyDescent="0.25">
      <c r="A942" t="s">
        <v>535</v>
      </c>
      <c r="B942">
        <v>3.39</v>
      </c>
    </row>
    <row r="943" spans="1:3" x14ac:dyDescent="0.25">
      <c r="A943" t="s">
        <v>536</v>
      </c>
      <c r="B943">
        <v>0.98</v>
      </c>
    </row>
    <row r="944" spans="1:3" x14ac:dyDescent="0.25">
      <c r="A944" t="s">
        <v>537</v>
      </c>
      <c r="B944" t="s">
        <v>532</v>
      </c>
    </row>
    <row r="945" spans="1:3" x14ac:dyDescent="0.25">
      <c r="A945" t="s">
        <v>520</v>
      </c>
      <c r="B945" t="s">
        <v>532</v>
      </c>
    </row>
    <row r="947" spans="1:3" x14ac:dyDescent="0.25">
      <c r="A947" t="s">
        <v>513</v>
      </c>
      <c r="B947" t="s">
        <v>514</v>
      </c>
      <c r="C947" t="s">
        <v>211</v>
      </c>
    </row>
    <row r="948" spans="1:3" x14ac:dyDescent="0.25">
      <c r="A948" t="s">
        <v>516</v>
      </c>
      <c r="B948">
        <v>2.99</v>
      </c>
    </row>
    <row r="949" spans="1:3" x14ac:dyDescent="0.25">
      <c r="A949" t="s">
        <v>525</v>
      </c>
      <c r="B949">
        <v>2.99</v>
      </c>
    </row>
    <row r="950" spans="1:3" x14ac:dyDescent="0.25">
      <c r="A950" t="s">
        <v>526</v>
      </c>
      <c r="B950">
        <v>3.13</v>
      </c>
    </row>
    <row r="951" spans="1:3" x14ac:dyDescent="0.25">
      <c r="A951" t="s">
        <v>527</v>
      </c>
      <c r="B951">
        <v>2.96</v>
      </c>
    </row>
    <row r="952" spans="1:3" x14ac:dyDescent="0.25">
      <c r="A952" t="s">
        <v>528</v>
      </c>
      <c r="B952" s="21">
        <v>322377</v>
      </c>
    </row>
    <row r="953" spans="1:3" x14ac:dyDescent="0.25">
      <c r="A953" t="s">
        <v>529</v>
      </c>
      <c r="B953" s="22">
        <v>217313.5</v>
      </c>
    </row>
    <row r="954" spans="1:3" x14ac:dyDescent="0.25">
      <c r="A954" t="s">
        <v>530</v>
      </c>
      <c r="B954">
        <v>0</v>
      </c>
    </row>
    <row r="955" spans="1:3" x14ac:dyDescent="0.25">
      <c r="A955" t="s">
        <v>531</v>
      </c>
      <c r="B955" t="s">
        <v>532</v>
      </c>
    </row>
    <row r="956" spans="1:3" x14ac:dyDescent="0.25">
      <c r="A956" t="s">
        <v>533</v>
      </c>
      <c r="B956">
        <v>0</v>
      </c>
    </row>
    <row r="957" spans="1:3" x14ac:dyDescent="0.25">
      <c r="A957" t="s">
        <v>534</v>
      </c>
      <c r="B957" t="s">
        <v>532</v>
      </c>
    </row>
    <row r="958" spans="1:3" x14ac:dyDescent="0.25">
      <c r="A958" t="s">
        <v>535</v>
      </c>
      <c r="B958">
        <v>4.5999999999999996</v>
      </c>
    </row>
    <row r="959" spans="1:3" x14ac:dyDescent="0.25">
      <c r="A959" t="s">
        <v>536</v>
      </c>
      <c r="B959">
        <v>2.4900000000000002</v>
      </c>
    </row>
    <row r="960" spans="1:3" x14ac:dyDescent="0.25">
      <c r="A960" t="s">
        <v>537</v>
      </c>
      <c r="B960" t="s">
        <v>532</v>
      </c>
    </row>
    <row r="961" spans="1:3" x14ac:dyDescent="0.25">
      <c r="A961" t="s">
        <v>520</v>
      </c>
      <c r="B961" t="s">
        <v>532</v>
      </c>
    </row>
    <row r="963" spans="1:3" x14ac:dyDescent="0.25">
      <c r="A963" t="s">
        <v>513</v>
      </c>
      <c r="B963" t="s">
        <v>514</v>
      </c>
      <c r="C963" t="s">
        <v>212</v>
      </c>
    </row>
    <row r="964" spans="1:3" x14ac:dyDescent="0.25">
      <c r="A964" t="s">
        <v>516</v>
      </c>
      <c r="B964">
        <v>4.54</v>
      </c>
    </row>
    <row r="965" spans="1:3" x14ac:dyDescent="0.25">
      <c r="A965" t="s">
        <v>525</v>
      </c>
      <c r="B965">
        <v>4.54</v>
      </c>
    </row>
    <row r="966" spans="1:3" x14ac:dyDescent="0.25">
      <c r="A966" t="s">
        <v>526</v>
      </c>
      <c r="B966">
        <v>4.55</v>
      </c>
    </row>
    <row r="967" spans="1:3" x14ac:dyDescent="0.25">
      <c r="A967" t="s">
        <v>527</v>
      </c>
      <c r="B967">
        <v>4.49</v>
      </c>
    </row>
    <row r="968" spans="1:3" x14ac:dyDescent="0.25">
      <c r="A968" t="s">
        <v>528</v>
      </c>
      <c r="B968" t="s">
        <v>585</v>
      </c>
    </row>
    <row r="969" spans="1:3" x14ac:dyDescent="0.25">
      <c r="A969" t="s">
        <v>529</v>
      </c>
      <c r="B969" t="s">
        <v>586</v>
      </c>
    </row>
    <row r="970" spans="1:3" x14ac:dyDescent="0.25">
      <c r="A970" t="s">
        <v>530</v>
      </c>
      <c r="B970">
        <v>4.5</v>
      </c>
    </row>
    <row r="971" spans="1:3" x14ac:dyDescent="0.25">
      <c r="A971" t="s">
        <v>531</v>
      </c>
      <c r="B971" s="21">
        <v>1000</v>
      </c>
    </row>
    <row r="972" spans="1:3" x14ac:dyDescent="0.25">
      <c r="A972" t="s">
        <v>533</v>
      </c>
      <c r="B972">
        <v>4.55</v>
      </c>
    </row>
    <row r="973" spans="1:3" x14ac:dyDescent="0.25">
      <c r="A973" t="s">
        <v>534</v>
      </c>
      <c r="B973" s="21">
        <v>500</v>
      </c>
    </row>
    <row r="974" spans="1:3" x14ac:dyDescent="0.25">
      <c r="A974" t="s">
        <v>535</v>
      </c>
      <c r="B974">
        <v>4.68</v>
      </c>
    </row>
    <row r="975" spans="1:3" x14ac:dyDescent="0.25">
      <c r="A975" t="s">
        <v>536</v>
      </c>
      <c r="B975">
        <v>1.19</v>
      </c>
    </row>
    <row r="976" spans="1:3" x14ac:dyDescent="0.25">
      <c r="A976" t="s">
        <v>537</v>
      </c>
      <c r="B976" t="s">
        <v>532</v>
      </c>
    </row>
    <row r="977" spans="1:3" x14ac:dyDescent="0.25">
      <c r="A977" t="s">
        <v>520</v>
      </c>
      <c r="B977" t="s">
        <v>532</v>
      </c>
    </row>
    <row r="979" spans="1:3" x14ac:dyDescent="0.25">
      <c r="A979" t="s">
        <v>513</v>
      </c>
      <c r="B979" t="s">
        <v>514</v>
      </c>
      <c r="C979" t="s">
        <v>215</v>
      </c>
    </row>
    <row r="980" spans="1:3" x14ac:dyDescent="0.25">
      <c r="A980" t="s">
        <v>516</v>
      </c>
      <c r="B980">
        <v>32.72</v>
      </c>
    </row>
    <row r="981" spans="1:3" x14ac:dyDescent="0.25">
      <c r="A981" t="s">
        <v>525</v>
      </c>
      <c r="B981">
        <v>32.51</v>
      </c>
    </row>
    <row r="982" spans="1:3" x14ac:dyDescent="0.25">
      <c r="A982" t="s">
        <v>526</v>
      </c>
      <c r="B982">
        <v>32.51</v>
      </c>
    </row>
    <row r="983" spans="1:3" x14ac:dyDescent="0.25">
      <c r="A983" t="s">
        <v>527</v>
      </c>
      <c r="B983">
        <v>32.51</v>
      </c>
    </row>
    <row r="984" spans="1:3" x14ac:dyDescent="0.25">
      <c r="A984" t="s">
        <v>528</v>
      </c>
      <c r="B984" s="21">
        <v>100</v>
      </c>
    </row>
    <row r="985" spans="1:3" x14ac:dyDescent="0.25">
      <c r="A985" t="s">
        <v>529</v>
      </c>
      <c r="B985" s="22">
        <v>1650.3</v>
      </c>
    </row>
    <row r="986" spans="1:3" x14ac:dyDescent="0.25">
      <c r="A986" t="s">
        <v>530</v>
      </c>
      <c r="B986">
        <v>0</v>
      </c>
    </row>
    <row r="987" spans="1:3" x14ac:dyDescent="0.25">
      <c r="A987" t="s">
        <v>531</v>
      </c>
      <c r="B987" t="s">
        <v>532</v>
      </c>
    </row>
    <row r="988" spans="1:3" x14ac:dyDescent="0.25">
      <c r="A988" t="s">
        <v>533</v>
      </c>
      <c r="B988">
        <v>0</v>
      </c>
    </row>
    <row r="989" spans="1:3" x14ac:dyDescent="0.25">
      <c r="A989" t="s">
        <v>534</v>
      </c>
      <c r="B989">
        <v>100</v>
      </c>
    </row>
    <row r="990" spans="1:3" x14ac:dyDescent="0.25">
      <c r="A990" t="s">
        <v>535</v>
      </c>
      <c r="B990">
        <v>36</v>
      </c>
    </row>
    <row r="991" spans="1:3" x14ac:dyDescent="0.25">
      <c r="A991" t="s">
        <v>536</v>
      </c>
      <c r="B991">
        <v>21.58</v>
      </c>
    </row>
    <row r="992" spans="1:3" x14ac:dyDescent="0.25">
      <c r="A992" t="s">
        <v>537</v>
      </c>
      <c r="B992">
        <v>0.64</v>
      </c>
    </row>
    <row r="993" spans="1:3" x14ac:dyDescent="0.25">
      <c r="A993" t="s">
        <v>520</v>
      </c>
      <c r="B993">
        <v>1.96</v>
      </c>
    </row>
    <row r="995" spans="1:3" x14ac:dyDescent="0.25">
      <c r="A995" t="s">
        <v>513</v>
      </c>
      <c r="B995" t="s">
        <v>514</v>
      </c>
      <c r="C995" t="s">
        <v>221</v>
      </c>
    </row>
    <row r="996" spans="1:3" x14ac:dyDescent="0.25">
      <c r="A996" t="s">
        <v>516</v>
      </c>
      <c r="B996">
        <v>425</v>
      </c>
    </row>
    <row r="997" spans="1:3" x14ac:dyDescent="0.25">
      <c r="A997" t="s">
        <v>525</v>
      </c>
      <c r="B997">
        <v>420</v>
      </c>
    </row>
    <row r="998" spans="1:3" x14ac:dyDescent="0.25">
      <c r="A998" t="s">
        <v>526</v>
      </c>
      <c r="B998">
        <v>420</v>
      </c>
    </row>
    <row r="999" spans="1:3" x14ac:dyDescent="0.25">
      <c r="A999" t="s">
        <v>527</v>
      </c>
      <c r="B999">
        <v>416</v>
      </c>
    </row>
    <row r="1000" spans="1:3" x14ac:dyDescent="0.25">
      <c r="A1000" t="s">
        <v>528</v>
      </c>
      <c r="B1000">
        <v>77</v>
      </c>
    </row>
    <row r="1001" spans="1:3" x14ac:dyDescent="0.25">
      <c r="A1001" t="s">
        <v>529</v>
      </c>
      <c r="B1001">
        <v>33.92</v>
      </c>
    </row>
    <row r="1002" spans="1:3" x14ac:dyDescent="0.25">
      <c r="A1002" t="s">
        <v>530</v>
      </c>
      <c r="B1002">
        <v>0</v>
      </c>
    </row>
    <row r="1003" spans="1:3" x14ac:dyDescent="0.25">
      <c r="A1003" t="s">
        <v>531</v>
      </c>
      <c r="B1003" t="s">
        <v>532</v>
      </c>
    </row>
    <row r="1004" spans="1:3" x14ac:dyDescent="0.25">
      <c r="A1004" t="s">
        <v>533</v>
      </c>
      <c r="B1004">
        <v>0</v>
      </c>
    </row>
    <row r="1005" spans="1:3" x14ac:dyDescent="0.25">
      <c r="A1005" t="s">
        <v>534</v>
      </c>
      <c r="B1005" t="s">
        <v>532</v>
      </c>
    </row>
    <row r="1006" spans="1:3" x14ac:dyDescent="0.25">
      <c r="A1006" t="s">
        <v>535</v>
      </c>
      <c r="B1006">
        <v>430</v>
      </c>
    </row>
    <row r="1007" spans="1:3" x14ac:dyDescent="0.25">
      <c r="A1007" t="s">
        <v>536</v>
      </c>
      <c r="B1007">
        <v>375</v>
      </c>
    </row>
    <row r="1008" spans="1:3" x14ac:dyDescent="0.25">
      <c r="A1008" t="s">
        <v>537</v>
      </c>
      <c r="B1008">
        <v>10.7</v>
      </c>
    </row>
    <row r="1009" spans="1:3" x14ac:dyDescent="0.25">
      <c r="A1009" t="s">
        <v>520</v>
      </c>
      <c r="B1009">
        <v>2.56</v>
      </c>
    </row>
    <row r="1011" spans="1:3" x14ac:dyDescent="0.25">
      <c r="A1011" t="s">
        <v>513</v>
      </c>
      <c r="B1011" t="s">
        <v>514</v>
      </c>
      <c r="C1011" t="s">
        <v>471</v>
      </c>
    </row>
    <row r="1012" spans="1:3" x14ac:dyDescent="0.25">
      <c r="A1012" t="s">
        <v>516</v>
      </c>
      <c r="B1012">
        <v>48.74</v>
      </c>
    </row>
    <row r="1013" spans="1:3" x14ac:dyDescent="0.25">
      <c r="A1013" t="s">
        <v>525</v>
      </c>
      <c r="B1013">
        <v>48.75</v>
      </c>
    </row>
    <row r="1014" spans="1:3" x14ac:dyDescent="0.25">
      <c r="A1014" t="s">
        <v>526</v>
      </c>
      <c r="B1014">
        <v>48.88</v>
      </c>
    </row>
    <row r="1015" spans="1:3" x14ac:dyDescent="0.25">
      <c r="A1015" t="s">
        <v>527</v>
      </c>
      <c r="B1015">
        <v>48.02</v>
      </c>
    </row>
    <row r="1016" spans="1:3" x14ac:dyDescent="0.25">
      <c r="A1016" t="s">
        <v>528</v>
      </c>
      <c r="B1016" t="s">
        <v>599</v>
      </c>
    </row>
    <row r="1017" spans="1:3" x14ac:dyDescent="0.25">
      <c r="A1017" t="s">
        <v>529</v>
      </c>
      <c r="B1017" t="s">
        <v>564</v>
      </c>
    </row>
    <row r="1018" spans="1:3" x14ac:dyDescent="0.25">
      <c r="A1018" t="s">
        <v>530</v>
      </c>
      <c r="B1018">
        <v>45.59</v>
      </c>
    </row>
    <row r="1019" spans="1:3" x14ac:dyDescent="0.25">
      <c r="A1019" t="s">
        <v>531</v>
      </c>
      <c r="B1019">
        <v>100</v>
      </c>
    </row>
    <row r="1020" spans="1:3" x14ac:dyDescent="0.25">
      <c r="A1020" t="s">
        <v>533</v>
      </c>
      <c r="B1020">
        <v>50.94</v>
      </c>
    </row>
    <row r="1021" spans="1:3" x14ac:dyDescent="0.25">
      <c r="A1021" t="s">
        <v>534</v>
      </c>
      <c r="B1021">
        <v>100</v>
      </c>
    </row>
    <row r="1022" spans="1:3" x14ac:dyDescent="0.25">
      <c r="A1022" t="s">
        <v>535</v>
      </c>
      <c r="B1022">
        <v>59.52</v>
      </c>
    </row>
    <row r="1023" spans="1:3" x14ac:dyDescent="0.25">
      <c r="A1023" t="s">
        <v>536</v>
      </c>
      <c r="B1023">
        <v>44.15</v>
      </c>
    </row>
    <row r="1024" spans="1:3" x14ac:dyDescent="0.25">
      <c r="A1024" t="s">
        <v>537</v>
      </c>
      <c r="B1024">
        <v>2.4</v>
      </c>
    </row>
    <row r="1025" spans="1:3" x14ac:dyDescent="0.25">
      <c r="A1025" t="s">
        <v>520</v>
      </c>
      <c r="B1025">
        <v>4.92</v>
      </c>
    </row>
    <row r="1027" spans="1:3" x14ac:dyDescent="0.25">
      <c r="A1027" t="s">
        <v>513</v>
      </c>
      <c r="B1027" t="s">
        <v>514</v>
      </c>
      <c r="C1027" t="s">
        <v>472</v>
      </c>
    </row>
    <row r="1028" spans="1:3" x14ac:dyDescent="0.25">
      <c r="A1028" t="s">
        <v>516</v>
      </c>
      <c r="B1028">
        <v>49.39</v>
      </c>
    </row>
    <row r="1029" spans="1:3" x14ac:dyDescent="0.25">
      <c r="A1029" t="s">
        <v>525</v>
      </c>
      <c r="B1029">
        <v>49.5</v>
      </c>
    </row>
    <row r="1030" spans="1:3" x14ac:dyDescent="0.25">
      <c r="A1030" t="s">
        <v>526</v>
      </c>
      <c r="B1030">
        <v>50.31</v>
      </c>
    </row>
    <row r="1031" spans="1:3" x14ac:dyDescent="0.25">
      <c r="A1031" t="s">
        <v>527</v>
      </c>
      <c r="B1031">
        <v>49.17</v>
      </c>
    </row>
    <row r="1032" spans="1:3" x14ac:dyDescent="0.25">
      <c r="A1032" t="s">
        <v>528</v>
      </c>
      <c r="B1032" s="21">
        <v>296314</v>
      </c>
    </row>
    <row r="1033" spans="1:3" x14ac:dyDescent="0.25">
      <c r="A1033" t="s">
        <v>529</v>
      </c>
      <c r="B1033" s="22">
        <v>356957.64</v>
      </c>
    </row>
    <row r="1034" spans="1:3" x14ac:dyDescent="0.25">
      <c r="A1034" t="s">
        <v>530</v>
      </c>
      <c r="B1034">
        <v>49.9</v>
      </c>
    </row>
    <row r="1035" spans="1:3" x14ac:dyDescent="0.25">
      <c r="A1035" t="s">
        <v>531</v>
      </c>
      <c r="B1035">
        <v>100</v>
      </c>
    </row>
    <row r="1036" spans="1:3" x14ac:dyDescent="0.25">
      <c r="A1036" t="s">
        <v>533</v>
      </c>
      <c r="B1036">
        <v>50</v>
      </c>
    </row>
    <row r="1037" spans="1:3" x14ac:dyDescent="0.25">
      <c r="A1037" t="s">
        <v>534</v>
      </c>
      <c r="B1037">
        <v>100</v>
      </c>
    </row>
    <row r="1038" spans="1:3" x14ac:dyDescent="0.25">
      <c r="A1038" t="s">
        <v>535</v>
      </c>
      <c r="B1038">
        <v>61.34</v>
      </c>
    </row>
    <row r="1039" spans="1:3" x14ac:dyDescent="0.25">
      <c r="A1039" t="s">
        <v>536</v>
      </c>
      <c r="B1039">
        <v>45.4</v>
      </c>
    </row>
    <row r="1040" spans="1:3" x14ac:dyDescent="0.25">
      <c r="A1040" t="s">
        <v>537</v>
      </c>
      <c r="B1040">
        <v>2.9</v>
      </c>
    </row>
    <row r="1041" spans="1:3" x14ac:dyDescent="0.25">
      <c r="A1041" t="s">
        <v>520</v>
      </c>
      <c r="B1041">
        <v>5.87</v>
      </c>
    </row>
    <row r="1043" spans="1:3" x14ac:dyDescent="0.25">
      <c r="A1043" t="s">
        <v>513</v>
      </c>
      <c r="B1043" t="s">
        <v>514</v>
      </c>
      <c r="C1043" t="s">
        <v>473</v>
      </c>
    </row>
    <row r="1044" spans="1:3" x14ac:dyDescent="0.25">
      <c r="A1044" t="s">
        <v>516</v>
      </c>
      <c r="B1044">
        <v>63.96</v>
      </c>
    </row>
    <row r="1045" spans="1:3" x14ac:dyDescent="0.25">
      <c r="A1045" t="s">
        <v>525</v>
      </c>
      <c r="B1045">
        <v>63.96</v>
      </c>
    </row>
    <row r="1046" spans="1:3" x14ac:dyDescent="0.25">
      <c r="A1046" t="s">
        <v>526</v>
      </c>
      <c r="B1046">
        <v>65.319999999999993</v>
      </c>
    </row>
    <row r="1047" spans="1:3" x14ac:dyDescent="0.25">
      <c r="A1047" t="s">
        <v>527</v>
      </c>
      <c r="B1047">
        <v>63.7</v>
      </c>
    </row>
    <row r="1048" spans="1:3" x14ac:dyDescent="0.25">
      <c r="A1048" t="s">
        <v>528</v>
      </c>
      <c r="B1048" s="21">
        <v>566486</v>
      </c>
    </row>
    <row r="1049" spans="1:3" x14ac:dyDescent="0.25">
      <c r="A1049" t="s">
        <v>529</v>
      </c>
      <c r="B1049" s="22">
        <v>802168.53</v>
      </c>
    </row>
    <row r="1050" spans="1:3" x14ac:dyDescent="0.25">
      <c r="A1050" t="s">
        <v>530</v>
      </c>
      <c r="B1050">
        <v>62.29</v>
      </c>
    </row>
    <row r="1051" spans="1:3" x14ac:dyDescent="0.25">
      <c r="A1051" t="s">
        <v>531</v>
      </c>
      <c r="B1051">
        <v>600</v>
      </c>
    </row>
    <row r="1052" spans="1:3" x14ac:dyDescent="0.25">
      <c r="A1052" t="s">
        <v>533</v>
      </c>
      <c r="B1052">
        <v>67</v>
      </c>
    </row>
    <row r="1053" spans="1:3" x14ac:dyDescent="0.25">
      <c r="A1053" t="s">
        <v>534</v>
      </c>
      <c r="B1053">
        <v>300</v>
      </c>
    </row>
    <row r="1054" spans="1:3" x14ac:dyDescent="0.25">
      <c r="A1054" t="s">
        <v>535</v>
      </c>
      <c r="B1054">
        <v>75.790000000000006</v>
      </c>
    </row>
    <row r="1055" spans="1:3" x14ac:dyDescent="0.25">
      <c r="A1055" t="s">
        <v>536</v>
      </c>
      <c r="B1055">
        <v>48.43</v>
      </c>
    </row>
    <row r="1056" spans="1:3" x14ac:dyDescent="0.25">
      <c r="A1056" t="s">
        <v>537</v>
      </c>
      <c r="B1056">
        <v>3.4</v>
      </c>
    </row>
    <row r="1057" spans="1:3" x14ac:dyDescent="0.25">
      <c r="A1057" t="s">
        <v>520</v>
      </c>
      <c r="B1057">
        <v>5.32</v>
      </c>
    </row>
    <row r="1059" spans="1:3" x14ac:dyDescent="0.25">
      <c r="A1059" t="s">
        <v>513</v>
      </c>
      <c r="B1059" t="s">
        <v>514</v>
      </c>
      <c r="C1059" t="s">
        <v>474</v>
      </c>
    </row>
    <row r="1060" spans="1:3" x14ac:dyDescent="0.25">
      <c r="A1060" t="s">
        <v>516</v>
      </c>
      <c r="B1060">
        <v>24.61</v>
      </c>
    </row>
    <row r="1061" spans="1:3" x14ac:dyDescent="0.25">
      <c r="A1061" t="s">
        <v>525</v>
      </c>
      <c r="B1061">
        <v>24.6</v>
      </c>
    </row>
    <row r="1062" spans="1:3" x14ac:dyDescent="0.25">
      <c r="A1062" t="s">
        <v>526</v>
      </c>
      <c r="B1062">
        <v>24.97</v>
      </c>
    </row>
    <row r="1063" spans="1:3" x14ac:dyDescent="0.25">
      <c r="A1063" t="s">
        <v>527</v>
      </c>
      <c r="B1063">
        <v>24.49</v>
      </c>
    </row>
    <row r="1064" spans="1:3" x14ac:dyDescent="0.25">
      <c r="A1064" t="s">
        <v>528</v>
      </c>
      <c r="B1064" s="21">
        <v>286832</v>
      </c>
    </row>
    <row r="1065" spans="1:3" x14ac:dyDescent="0.25">
      <c r="A1065" t="s">
        <v>529</v>
      </c>
      <c r="B1065" s="22">
        <v>619529</v>
      </c>
    </row>
    <row r="1066" spans="1:3" x14ac:dyDescent="0.25">
      <c r="A1066" t="s">
        <v>530</v>
      </c>
      <c r="B1066">
        <v>22.5</v>
      </c>
    </row>
    <row r="1067" spans="1:3" x14ac:dyDescent="0.25">
      <c r="A1067" t="s">
        <v>531</v>
      </c>
      <c r="B1067">
        <v>100</v>
      </c>
    </row>
    <row r="1068" spans="1:3" x14ac:dyDescent="0.25">
      <c r="A1068" t="s">
        <v>533</v>
      </c>
      <c r="B1068">
        <v>25.99</v>
      </c>
    </row>
    <row r="1069" spans="1:3" x14ac:dyDescent="0.25">
      <c r="A1069" t="s">
        <v>534</v>
      </c>
      <c r="B1069">
        <v>100</v>
      </c>
    </row>
    <row r="1070" spans="1:3" x14ac:dyDescent="0.25">
      <c r="A1070" t="s">
        <v>535</v>
      </c>
      <c r="B1070">
        <v>29.26</v>
      </c>
    </row>
    <row r="1071" spans="1:3" x14ac:dyDescent="0.25">
      <c r="A1071" t="s">
        <v>536</v>
      </c>
      <c r="B1071">
        <v>21.87</v>
      </c>
    </row>
    <row r="1072" spans="1:3" x14ac:dyDescent="0.25">
      <c r="A1072" t="s">
        <v>537</v>
      </c>
      <c r="B1072">
        <v>2.2000000000000002</v>
      </c>
    </row>
    <row r="1073" spans="1:3" x14ac:dyDescent="0.25">
      <c r="A1073" t="s">
        <v>520</v>
      </c>
      <c r="B1073">
        <v>8.94</v>
      </c>
    </row>
    <row r="1075" spans="1:3" x14ac:dyDescent="0.25">
      <c r="A1075" t="s">
        <v>513</v>
      </c>
      <c r="B1075" t="s">
        <v>514</v>
      </c>
      <c r="C1075" t="s">
        <v>475</v>
      </c>
    </row>
    <row r="1076" spans="1:3" x14ac:dyDescent="0.25">
      <c r="A1076" t="s">
        <v>516</v>
      </c>
      <c r="B1076">
        <v>29.81</v>
      </c>
    </row>
    <row r="1077" spans="1:3" x14ac:dyDescent="0.25">
      <c r="A1077" t="s">
        <v>525</v>
      </c>
      <c r="B1077">
        <v>29.78</v>
      </c>
    </row>
    <row r="1078" spans="1:3" x14ac:dyDescent="0.25">
      <c r="A1078" t="s">
        <v>526</v>
      </c>
      <c r="B1078">
        <v>30.02</v>
      </c>
    </row>
    <row r="1079" spans="1:3" x14ac:dyDescent="0.25">
      <c r="A1079" t="s">
        <v>527</v>
      </c>
      <c r="B1079">
        <v>29.24</v>
      </c>
    </row>
    <row r="1080" spans="1:3" x14ac:dyDescent="0.25">
      <c r="A1080" t="s">
        <v>528</v>
      </c>
      <c r="B1080" s="21">
        <v>255618</v>
      </c>
    </row>
    <row r="1081" spans="1:3" x14ac:dyDescent="0.25">
      <c r="A1081" t="s">
        <v>529</v>
      </c>
      <c r="B1081" s="22">
        <v>137099.16</v>
      </c>
    </row>
    <row r="1082" spans="1:3" x14ac:dyDescent="0.25">
      <c r="A1082" t="s">
        <v>530</v>
      </c>
      <c r="B1082">
        <v>28.22</v>
      </c>
    </row>
    <row r="1083" spans="1:3" x14ac:dyDescent="0.25">
      <c r="A1083" t="s">
        <v>531</v>
      </c>
      <c r="B1083">
        <v>200</v>
      </c>
    </row>
    <row r="1084" spans="1:3" x14ac:dyDescent="0.25">
      <c r="A1084" t="s">
        <v>533</v>
      </c>
      <c r="B1084">
        <v>35</v>
      </c>
    </row>
    <row r="1085" spans="1:3" x14ac:dyDescent="0.25">
      <c r="A1085" t="s">
        <v>534</v>
      </c>
      <c r="B1085">
        <v>700</v>
      </c>
    </row>
    <row r="1086" spans="1:3" x14ac:dyDescent="0.25">
      <c r="A1086" t="s">
        <v>535</v>
      </c>
      <c r="B1086">
        <v>36.090000000000003</v>
      </c>
    </row>
    <row r="1087" spans="1:3" x14ac:dyDescent="0.25">
      <c r="A1087" t="s">
        <v>536</v>
      </c>
      <c r="B1087">
        <v>25.01</v>
      </c>
    </row>
    <row r="1088" spans="1:3" x14ac:dyDescent="0.25">
      <c r="A1088" t="s">
        <v>537</v>
      </c>
      <c r="B1088">
        <v>2.1</v>
      </c>
    </row>
    <row r="1089" spans="1:3" x14ac:dyDescent="0.25">
      <c r="A1089" t="s">
        <v>520</v>
      </c>
      <c r="B1089">
        <v>7.05</v>
      </c>
    </row>
    <row r="1091" spans="1:3" x14ac:dyDescent="0.25">
      <c r="A1091" t="s">
        <v>513</v>
      </c>
      <c r="B1091" t="s">
        <v>514</v>
      </c>
      <c r="C1091" t="s">
        <v>476</v>
      </c>
    </row>
    <row r="1092" spans="1:3" x14ac:dyDescent="0.25">
      <c r="A1092" t="s">
        <v>516</v>
      </c>
      <c r="B1092">
        <v>21.35</v>
      </c>
    </row>
    <row r="1093" spans="1:3" x14ac:dyDescent="0.25">
      <c r="A1093" t="s">
        <v>525</v>
      </c>
      <c r="B1093">
        <v>21.7</v>
      </c>
    </row>
    <row r="1094" spans="1:3" x14ac:dyDescent="0.25">
      <c r="A1094" t="s">
        <v>526</v>
      </c>
      <c r="B1094">
        <v>22.77</v>
      </c>
    </row>
    <row r="1095" spans="1:3" x14ac:dyDescent="0.25">
      <c r="A1095" t="s">
        <v>527</v>
      </c>
      <c r="B1095">
        <v>21.7</v>
      </c>
    </row>
    <row r="1096" spans="1:3" x14ac:dyDescent="0.25">
      <c r="A1096" t="s">
        <v>528</v>
      </c>
      <c r="B1096" s="21" t="s">
        <v>600</v>
      </c>
    </row>
    <row r="1097" spans="1:3" x14ac:dyDescent="0.25">
      <c r="A1097" t="s">
        <v>529</v>
      </c>
      <c r="B1097" s="22">
        <v>892291.08</v>
      </c>
    </row>
    <row r="1098" spans="1:3" x14ac:dyDescent="0.25">
      <c r="A1098" t="s">
        <v>530</v>
      </c>
      <c r="B1098">
        <v>21.72</v>
      </c>
    </row>
    <row r="1099" spans="1:3" x14ac:dyDescent="0.25">
      <c r="A1099" t="s">
        <v>531</v>
      </c>
      <c r="B1099">
        <v>100</v>
      </c>
    </row>
    <row r="1100" spans="1:3" x14ac:dyDescent="0.25">
      <c r="A1100" t="s">
        <v>533</v>
      </c>
      <c r="B1100">
        <v>22.9</v>
      </c>
    </row>
    <row r="1101" spans="1:3" x14ac:dyDescent="0.25">
      <c r="A1101" t="s">
        <v>534</v>
      </c>
      <c r="B1101" s="21">
        <v>1600</v>
      </c>
    </row>
    <row r="1102" spans="1:3" x14ac:dyDescent="0.25">
      <c r="A1102" t="s">
        <v>535</v>
      </c>
      <c r="B1102">
        <v>28.37</v>
      </c>
    </row>
    <row r="1103" spans="1:3" x14ac:dyDescent="0.25">
      <c r="A1103" t="s">
        <v>536</v>
      </c>
      <c r="B1103">
        <v>20.399999999999999</v>
      </c>
    </row>
    <row r="1104" spans="1:3" x14ac:dyDescent="0.25">
      <c r="A1104" t="s">
        <v>537</v>
      </c>
      <c r="B1104">
        <v>1.62</v>
      </c>
    </row>
    <row r="1105" spans="1:3" x14ac:dyDescent="0.25">
      <c r="A1105" t="s">
        <v>520</v>
      </c>
      <c r="B1105">
        <v>7.12</v>
      </c>
    </row>
    <row r="1107" spans="1:3" x14ac:dyDescent="0.25">
      <c r="A1107" t="s">
        <v>513</v>
      </c>
      <c r="B1107" t="s">
        <v>514</v>
      </c>
      <c r="C1107" t="s">
        <v>477</v>
      </c>
    </row>
    <row r="1108" spans="1:3" x14ac:dyDescent="0.25">
      <c r="A1108" t="s">
        <v>516</v>
      </c>
      <c r="B1108">
        <v>1.95</v>
      </c>
    </row>
    <row r="1109" spans="1:3" x14ac:dyDescent="0.25">
      <c r="A1109" t="s">
        <v>525</v>
      </c>
      <c r="B1109">
        <v>1.98</v>
      </c>
    </row>
    <row r="1110" spans="1:3" x14ac:dyDescent="0.25">
      <c r="A1110" t="s">
        <v>526</v>
      </c>
      <c r="B1110">
        <v>1.99</v>
      </c>
    </row>
    <row r="1111" spans="1:3" x14ac:dyDescent="0.25">
      <c r="A1111" t="s">
        <v>527</v>
      </c>
      <c r="B1111">
        <v>1.86</v>
      </c>
    </row>
    <row r="1112" spans="1:3" x14ac:dyDescent="0.25">
      <c r="A1112" t="s">
        <v>528</v>
      </c>
      <c r="B1112" s="21">
        <v>920849</v>
      </c>
    </row>
    <row r="1113" spans="1:3" x14ac:dyDescent="0.25">
      <c r="A1113" t="s">
        <v>529</v>
      </c>
      <c r="B1113" t="s">
        <v>591</v>
      </c>
    </row>
    <row r="1114" spans="1:3" x14ac:dyDescent="0.25">
      <c r="A1114" t="s">
        <v>530</v>
      </c>
      <c r="B1114">
        <v>1.8</v>
      </c>
    </row>
    <row r="1115" spans="1:3" x14ac:dyDescent="0.25">
      <c r="A1115" t="s">
        <v>531</v>
      </c>
      <c r="B1115" s="21">
        <v>1500</v>
      </c>
    </row>
    <row r="1116" spans="1:3" x14ac:dyDescent="0.25">
      <c r="A1116" t="s">
        <v>533</v>
      </c>
      <c r="B1116">
        <v>2</v>
      </c>
    </row>
    <row r="1117" spans="1:3" x14ac:dyDescent="0.25">
      <c r="A1117" t="s">
        <v>534</v>
      </c>
      <c r="B1117">
        <v>200</v>
      </c>
    </row>
    <row r="1118" spans="1:3" x14ac:dyDescent="0.25">
      <c r="A1118" t="s">
        <v>535</v>
      </c>
      <c r="B1118">
        <v>3.23</v>
      </c>
    </row>
    <row r="1119" spans="1:3" x14ac:dyDescent="0.25">
      <c r="A1119" t="s">
        <v>536</v>
      </c>
      <c r="B1119">
        <v>0.81</v>
      </c>
    </row>
    <row r="1120" spans="1:3" x14ac:dyDescent="0.25">
      <c r="A1120" t="s">
        <v>537</v>
      </c>
      <c r="B1120" t="s">
        <v>532</v>
      </c>
    </row>
    <row r="1121" spans="1:3" x14ac:dyDescent="0.25">
      <c r="A1121" t="s">
        <v>520</v>
      </c>
      <c r="B1121" t="s">
        <v>532</v>
      </c>
    </row>
    <row r="1123" spans="1:3" x14ac:dyDescent="0.25">
      <c r="A1123" t="s">
        <v>513</v>
      </c>
      <c r="B1123" t="s">
        <v>514</v>
      </c>
      <c r="C1123" t="s">
        <v>478</v>
      </c>
    </row>
    <row r="1124" spans="1:3" x14ac:dyDescent="0.25">
      <c r="A1124" t="s">
        <v>516</v>
      </c>
      <c r="B1124">
        <v>51.89</v>
      </c>
    </row>
    <row r="1125" spans="1:3" x14ac:dyDescent="0.25">
      <c r="A1125" t="s">
        <v>525</v>
      </c>
      <c r="B1125">
        <v>51.58</v>
      </c>
    </row>
    <row r="1126" spans="1:3" x14ac:dyDescent="0.25">
      <c r="A1126" t="s">
        <v>526</v>
      </c>
      <c r="B1126">
        <v>51.88</v>
      </c>
    </row>
    <row r="1127" spans="1:3" x14ac:dyDescent="0.25">
      <c r="A1127" t="s">
        <v>527</v>
      </c>
      <c r="B1127">
        <v>48.8</v>
      </c>
    </row>
    <row r="1128" spans="1:3" x14ac:dyDescent="0.25">
      <c r="A1128" t="s">
        <v>528</v>
      </c>
      <c r="B1128" s="21" t="s">
        <v>626</v>
      </c>
    </row>
    <row r="1129" spans="1:3" x14ac:dyDescent="0.25">
      <c r="A1129" t="s">
        <v>529</v>
      </c>
      <c r="B1129" s="22">
        <v>838580</v>
      </c>
    </row>
    <row r="1130" spans="1:3" x14ac:dyDescent="0.25">
      <c r="A1130" t="s">
        <v>530</v>
      </c>
      <c r="B1130">
        <v>0</v>
      </c>
    </row>
    <row r="1131" spans="1:3" x14ac:dyDescent="0.25">
      <c r="A1131" t="s">
        <v>531</v>
      </c>
      <c r="B1131" t="s">
        <v>532</v>
      </c>
    </row>
    <row r="1132" spans="1:3" x14ac:dyDescent="0.25">
      <c r="A1132" t="s">
        <v>533</v>
      </c>
      <c r="B1132">
        <v>0</v>
      </c>
    </row>
    <row r="1133" spans="1:3" x14ac:dyDescent="0.25">
      <c r="A1133" t="s">
        <v>534</v>
      </c>
      <c r="B1133" t="s">
        <v>532</v>
      </c>
    </row>
    <row r="1134" spans="1:3" x14ac:dyDescent="0.25">
      <c r="A1134" t="s">
        <v>535</v>
      </c>
      <c r="B1134">
        <v>77.8</v>
      </c>
    </row>
    <row r="1135" spans="1:3" x14ac:dyDescent="0.25">
      <c r="A1135" t="s">
        <v>536</v>
      </c>
      <c r="B1135">
        <v>39.409999999999997</v>
      </c>
    </row>
    <row r="1136" spans="1:3" x14ac:dyDescent="0.25">
      <c r="A1136" t="s">
        <v>537</v>
      </c>
      <c r="B1136" t="s">
        <v>532</v>
      </c>
    </row>
    <row r="1137" spans="1:3" x14ac:dyDescent="0.25">
      <c r="A1137" t="s">
        <v>520</v>
      </c>
      <c r="B1137" t="s">
        <v>532</v>
      </c>
    </row>
    <row r="1139" spans="1:3" x14ac:dyDescent="0.25">
      <c r="A1139" t="s">
        <v>513</v>
      </c>
      <c r="B1139" t="s">
        <v>514</v>
      </c>
      <c r="C1139" t="s">
        <v>511</v>
      </c>
    </row>
    <row r="1140" spans="1:3" x14ac:dyDescent="0.25">
      <c r="A1140" t="s">
        <v>516</v>
      </c>
      <c r="B1140">
        <v>40.69</v>
      </c>
    </row>
    <row r="1141" spans="1:3" x14ac:dyDescent="0.25">
      <c r="A1141" t="s">
        <v>525</v>
      </c>
      <c r="B1141">
        <v>40.869999999999997</v>
      </c>
    </row>
    <row r="1142" spans="1:3" x14ac:dyDescent="0.25">
      <c r="A1142" t="s">
        <v>526</v>
      </c>
      <c r="B1142">
        <v>40.97</v>
      </c>
    </row>
    <row r="1143" spans="1:3" x14ac:dyDescent="0.25">
      <c r="A1143" t="s">
        <v>527</v>
      </c>
      <c r="B1143">
        <v>39.04</v>
      </c>
    </row>
    <row r="1144" spans="1:3" x14ac:dyDescent="0.25">
      <c r="A1144" t="s">
        <v>528</v>
      </c>
      <c r="B1144" s="21">
        <v>160505</v>
      </c>
    </row>
    <row r="1145" spans="1:3" x14ac:dyDescent="0.25">
      <c r="A1145" t="s">
        <v>529</v>
      </c>
      <c r="B1145" s="22">
        <v>288425</v>
      </c>
    </row>
    <row r="1146" spans="1:3" x14ac:dyDescent="0.25">
      <c r="A1146" t="s">
        <v>530</v>
      </c>
      <c r="B1146">
        <v>0</v>
      </c>
    </row>
    <row r="1147" spans="1:3" x14ac:dyDescent="0.25">
      <c r="A1147" t="s">
        <v>531</v>
      </c>
      <c r="B1147" t="s">
        <v>532</v>
      </c>
    </row>
    <row r="1148" spans="1:3" x14ac:dyDescent="0.25">
      <c r="A1148" t="s">
        <v>533</v>
      </c>
      <c r="B1148">
        <v>0</v>
      </c>
    </row>
    <row r="1149" spans="1:3" x14ac:dyDescent="0.25">
      <c r="A1149" t="s">
        <v>534</v>
      </c>
      <c r="B1149" t="s">
        <v>532</v>
      </c>
    </row>
    <row r="1150" spans="1:3" x14ac:dyDescent="0.25">
      <c r="A1150" t="s">
        <v>535</v>
      </c>
      <c r="B1150">
        <v>47.85</v>
      </c>
    </row>
    <row r="1151" spans="1:3" x14ac:dyDescent="0.25">
      <c r="A1151" t="s">
        <v>536</v>
      </c>
      <c r="B1151">
        <v>14.07</v>
      </c>
    </row>
    <row r="1152" spans="1:3" x14ac:dyDescent="0.25">
      <c r="A1152" t="s">
        <v>537</v>
      </c>
      <c r="B1152" t="s">
        <v>532</v>
      </c>
    </row>
    <row r="1153" spans="1:3" x14ac:dyDescent="0.25">
      <c r="A1153" t="s">
        <v>520</v>
      </c>
      <c r="B1153" t="s">
        <v>532</v>
      </c>
    </row>
    <row r="1155" spans="1:3" x14ac:dyDescent="0.25">
      <c r="A1155" t="s">
        <v>513</v>
      </c>
      <c r="B1155" t="s">
        <v>514</v>
      </c>
      <c r="C1155" t="s">
        <v>512</v>
      </c>
    </row>
    <row r="1156" spans="1:3" x14ac:dyDescent="0.25">
      <c r="A1156" t="s">
        <v>516</v>
      </c>
      <c r="B1156">
        <v>10.74</v>
      </c>
    </row>
    <row r="1157" spans="1:3" x14ac:dyDescent="0.25">
      <c r="A1157" t="s">
        <v>525</v>
      </c>
      <c r="B1157">
        <v>10.76</v>
      </c>
    </row>
    <row r="1158" spans="1:3" x14ac:dyDescent="0.25">
      <c r="A1158" t="s">
        <v>526</v>
      </c>
      <c r="B1158">
        <v>10.89</v>
      </c>
    </row>
    <row r="1159" spans="1:3" x14ac:dyDescent="0.25">
      <c r="A1159" t="s">
        <v>527</v>
      </c>
      <c r="B1159">
        <v>10.36</v>
      </c>
    </row>
    <row r="1160" spans="1:3" x14ac:dyDescent="0.25">
      <c r="A1160" t="s">
        <v>528</v>
      </c>
      <c r="B1160" s="21">
        <v>601510</v>
      </c>
    </row>
    <row r="1161" spans="1:3" x14ac:dyDescent="0.25">
      <c r="A1161" t="s">
        <v>529</v>
      </c>
      <c r="B1161" t="s">
        <v>613</v>
      </c>
    </row>
    <row r="1162" spans="1:3" x14ac:dyDescent="0.25">
      <c r="A1162" t="s">
        <v>530</v>
      </c>
      <c r="B1162">
        <v>0</v>
      </c>
    </row>
    <row r="1163" spans="1:3" x14ac:dyDescent="0.25">
      <c r="A1163" t="s">
        <v>531</v>
      </c>
      <c r="B1163" t="s">
        <v>532</v>
      </c>
    </row>
    <row r="1164" spans="1:3" x14ac:dyDescent="0.25">
      <c r="A1164" t="s">
        <v>533</v>
      </c>
      <c r="B1164">
        <v>0</v>
      </c>
    </row>
    <row r="1165" spans="1:3" x14ac:dyDescent="0.25">
      <c r="A1165" t="s">
        <v>534</v>
      </c>
      <c r="B1165" t="s">
        <v>532</v>
      </c>
    </row>
    <row r="1166" spans="1:3" x14ac:dyDescent="0.25">
      <c r="A1166" t="s">
        <v>535</v>
      </c>
      <c r="B1166">
        <v>14.47</v>
      </c>
    </row>
    <row r="1167" spans="1:3" x14ac:dyDescent="0.25">
      <c r="A1167" t="s">
        <v>536</v>
      </c>
      <c r="B1167">
        <v>6.7</v>
      </c>
    </row>
    <row r="1168" spans="1:3" x14ac:dyDescent="0.25">
      <c r="A1168" t="s">
        <v>537</v>
      </c>
      <c r="B1168" t="s">
        <v>532</v>
      </c>
    </row>
    <row r="1169" spans="1:3" x14ac:dyDescent="0.25">
      <c r="A1169" t="s">
        <v>520</v>
      </c>
      <c r="B1169" t="s">
        <v>532</v>
      </c>
    </row>
    <row r="1171" spans="1:3" x14ac:dyDescent="0.25">
      <c r="A1171" t="s">
        <v>513</v>
      </c>
      <c r="B1171" t="s">
        <v>514</v>
      </c>
      <c r="C1171" t="s">
        <v>27</v>
      </c>
    </row>
    <row r="1172" spans="1:3" x14ac:dyDescent="0.25">
      <c r="A1172" t="s">
        <v>516</v>
      </c>
      <c r="B1172">
        <v>16.8</v>
      </c>
    </row>
    <row r="1173" spans="1:3" x14ac:dyDescent="0.25">
      <c r="A1173" t="s">
        <v>525</v>
      </c>
      <c r="B1173">
        <v>17</v>
      </c>
    </row>
    <row r="1174" spans="1:3" x14ac:dyDescent="0.25">
      <c r="A1174" t="s">
        <v>526</v>
      </c>
      <c r="B1174">
        <v>17</v>
      </c>
    </row>
    <row r="1175" spans="1:3" x14ac:dyDescent="0.25">
      <c r="A1175" t="s">
        <v>527</v>
      </c>
      <c r="B1175">
        <v>17</v>
      </c>
    </row>
    <row r="1176" spans="1:3" x14ac:dyDescent="0.25">
      <c r="A1176" t="s">
        <v>528</v>
      </c>
      <c r="B1176">
        <v>815</v>
      </c>
    </row>
    <row r="1177" spans="1:3" x14ac:dyDescent="0.25">
      <c r="A1177" t="s">
        <v>529</v>
      </c>
      <c r="B1177" t="s">
        <v>532</v>
      </c>
    </row>
    <row r="1178" spans="1:3" x14ac:dyDescent="0.25">
      <c r="A1178" t="s">
        <v>530</v>
      </c>
      <c r="B1178">
        <v>0</v>
      </c>
    </row>
    <row r="1179" spans="1:3" x14ac:dyDescent="0.25">
      <c r="A1179" t="s">
        <v>531</v>
      </c>
      <c r="B1179" s="21" t="s">
        <v>532</v>
      </c>
    </row>
    <row r="1180" spans="1:3" x14ac:dyDescent="0.25">
      <c r="A1180" t="s">
        <v>533</v>
      </c>
      <c r="B1180">
        <v>0</v>
      </c>
    </row>
    <row r="1181" spans="1:3" x14ac:dyDescent="0.25">
      <c r="A1181" t="s">
        <v>534</v>
      </c>
      <c r="B1181" t="s">
        <v>532</v>
      </c>
    </row>
    <row r="1182" spans="1:3" x14ac:dyDescent="0.25">
      <c r="A1182" t="s">
        <v>535</v>
      </c>
      <c r="B1182">
        <v>22.05</v>
      </c>
    </row>
    <row r="1183" spans="1:3" x14ac:dyDescent="0.25">
      <c r="A1183" t="s">
        <v>536</v>
      </c>
      <c r="B1183">
        <v>7.8</v>
      </c>
    </row>
    <row r="1184" spans="1:3" x14ac:dyDescent="0.25">
      <c r="A1184" t="s">
        <v>537</v>
      </c>
      <c r="B1184" t="s">
        <v>532</v>
      </c>
    </row>
    <row r="1185" spans="1:3" x14ac:dyDescent="0.25">
      <c r="A1185" t="s">
        <v>520</v>
      </c>
      <c r="B1185" t="s">
        <v>532</v>
      </c>
    </row>
    <row r="1187" spans="1:3" x14ac:dyDescent="0.25">
      <c r="A1187" t="s">
        <v>513</v>
      </c>
      <c r="B1187" t="s">
        <v>514</v>
      </c>
      <c r="C1187" t="s">
        <v>570</v>
      </c>
    </row>
    <row r="1188" spans="1:3" x14ac:dyDescent="0.25">
      <c r="A1188" t="s">
        <v>516</v>
      </c>
      <c r="B1188">
        <v>178.13</v>
      </c>
    </row>
    <row r="1189" spans="1:3" x14ac:dyDescent="0.25">
      <c r="A1189" t="s">
        <v>525</v>
      </c>
      <c r="B1189">
        <v>178.5</v>
      </c>
    </row>
    <row r="1190" spans="1:3" x14ac:dyDescent="0.25">
      <c r="A1190" t="s">
        <v>526</v>
      </c>
      <c r="B1190">
        <v>178.66</v>
      </c>
    </row>
    <row r="1191" spans="1:3" x14ac:dyDescent="0.25">
      <c r="A1191" t="s">
        <v>527</v>
      </c>
      <c r="B1191">
        <v>177.77</v>
      </c>
    </row>
    <row r="1192" spans="1:3" x14ac:dyDescent="0.25">
      <c r="A1192" t="s">
        <v>528</v>
      </c>
      <c r="B1192" t="s">
        <v>622</v>
      </c>
    </row>
    <row r="1193" spans="1:3" x14ac:dyDescent="0.25">
      <c r="A1193" t="s">
        <v>530</v>
      </c>
      <c r="B1193">
        <v>177.94</v>
      </c>
    </row>
    <row r="1194" spans="1:3" x14ac:dyDescent="0.25">
      <c r="A1194" t="s">
        <v>531</v>
      </c>
      <c r="B1194" s="21">
        <v>100</v>
      </c>
    </row>
    <row r="1195" spans="1:3" x14ac:dyDescent="0.25">
      <c r="A1195" t="s">
        <v>533</v>
      </c>
      <c r="B1195">
        <v>177.97</v>
      </c>
    </row>
    <row r="1196" spans="1:3" x14ac:dyDescent="0.25">
      <c r="A1196" t="s">
        <v>534</v>
      </c>
      <c r="B1196" s="21">
        <v>3800</v>
      </c>
    </row>
    <row r="1197" spans="1:3" x14ac:dyDescent="0.25">
      <c r="A1197" t="s">
        <v>535</v>
      </c>
      <c r="B1197">
        <v>181.75</v>
      </c>
    </row>
    <row r="1198" spans="1:3" x14ac:dyDescent="0.25">
      <c r="A1198" t="s">
        <v>536</v>
      </c>
      <c r="B1198">
        <v>139.54</v>
      </c>
    </row>
    <row r="1199" spans="1:3" x14ac:dyDescent="0.25">
      <c r="A1199" t="s">
        <v>554</v>
      </c>
      <c r="B1199">
        <v>1</v>
      </c>
    </row>
    <row r="1200" spans="1:3" x14ac:dyDescent="0.25">
      <c r="A1200" t="s">
        <v>555</v>
      </c>
      <c r="B1200">
        <v>26.91</v>
      </c>
    </row>
    <row r="1201" spans="1:2" x14ac:dyDescent="0.25">
      <c r="A1201" t="s">
        <v>556</v>
      </c>
      <c r="B1201">
        <v>26.91</v>
      </c>
    </row>
    <row r="1202" spans="1:2" x14ac:dyDescent="0.25">
      <c r="A1202" t="s">
        <v>557</v>
      </c>
      <c r="B1202" s="2">
        <v>33991</v>
      </c>
    </row>
    <row r="1203" spans="1:2" x14ac:dyDescent="0.25">
      <c r="A1203" t="s">
        <v>558</v>
      </c>
      <c r="B1203" t="s">
        <v>623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75</vt:i4>
      </vt:variant>
    </vt:vector>
  </HeadingPairs>
  <TitlesOfParts>
    <vt:vector size="77" baseType="lpstr">
      <vt:lpstr>Scorecard</vt:lpstr>
      <vt:lpstr>Data (ignore)</vt:lpstr>
      <vt:lpstr>'Data (ignore)'!_?symbol_fxa_ocid_qbeb</vt:lpstr>
      <vt:lpstr>'Data (ignore)'!_?symbol_fxc_ocid_qbeb</vt:lpstr>
      <vt:lpstr>'Data (ignore)'!_?symbol_fxe_ocid_qbeb</vt:lpstr>
      <vt:lpstr>'Data (ignore)'!_?symbol_fxf_ocid_qbeb</vt:lpstr>
      <vt:lpstr>'Data (ignore)'!_?symbol_fxy_ocid_qbeb</vt:lpstr>
      <vt:lpstr>'Data (ignore)'!_?symbol_gld_ocid_qbeb</vt:lpstr>
      <vt:lpstr>'Data (ignore)'!_?symbol_prgsx_ocid_qbeb</vt:lpstr>
      <vt:lpstr>'Data (ignore)'!_?symbol_slv_ocid_qbeb</vt:lpstr>
      <vt:lpstr>'Data (ignore)'!_?symbol_spy_ocid_qbeb</vt:lpstr>
      <vt:lpstr>'Data (ignore)'!_?symbol_vgsix_ocid_qbeb</vt:lpstr>
      <vt:lpstr>'Data (ignore)'!stock_price?Symbol_aln_ocid_qbeb</vt:lpstr>
      <vt:lpstr>'Data (ignore)'!stock_price?Symbol_alu_ocid_qbeb</vt:lpstr>
      <vt:lpstr>'Data (ignore)'!stock_price?Symbol_an_ocid_qbeb</vt:lpstr>
      <vt:lpstr>'Data (ignore)'!stock_price?Symbol_apc_ocid_qbeb</vt:lpstr>
      <vt:lpstr>'Data (ignore)'!stock_price?Symbol_axp_ocid_qbeb</vt:lpstr>
      <vt:lpstr>'Data (ignore)'!stock_price?Symbol_bfs_ocid_qbeb</vt:lpstr>
      <vt:lpstr>'Data (ignore)'!stock_price?Symbol_bkutk_ocid_qbeb</vt:lpstr>
      <vt:lpstr>'Data (ignore)'!stock_price?Symbol_boref_ocid_qbeb</vt:lpstr>
      <vt:lpstr>'Data (ignore)'!stock_price?Symbol_bth_ocid_qbeb</vt:lpstr>
      <vt:lpstr>'Data (ignore)'!stock_price?Symbol_bx_ocid_qbeb</vt:lpstr>
      <vt:lpstr>'Data (ignore)'!stock_price?Symbol_c_ocid_qbeb</vt:lpstr>
      <vt:lpstr>'Data (ignore)'!stock_price?Symbol_cbrx_ocid_qbeb_1</vt:lpstr>
      <vt:lpstr>'Data (ignore)'!stock_price?symbol_cmlp_ocid_qbeb</vt:lpstr>
      <vt:lpstr>'Data (ignore)'!stock_price?Symbol_cvv_ocid_qbeb</vt:lpstr>
      <vt:lpstr>'Data (ignore)'!stock_price?Symbol_dcth_ocid_qbeb</vt:lpstr>
      <vt:lpstr>'Data (ignore)'!stock_price?Symbol_dd_ocid_qbeb</vt:lpstr>
      <vt:lpstr>'Data (ignore)'!stock_price?Symbol_depo_ocid_qbeb</vt:lpstr>
      <vt:lpstr>'Data (ignore)'!stock_price?Symbol_dvax_ocid_qbeb</vt:lpstr>
      <vt:lpstr>'Data (ignore)'!stock_price?Symbol_emis_ocid_qbeb</vt:lpstr>
      <vt:lpstr>'Data (ignore)'!stock_price?Symbol_emis_ocid_qbeb_1</vt:lpstr>
      <vt:lpstr>'Data (ignore)'!stock_price?Symbol_epd_ocid_qbeb</vt:lpstr>
      <vt:lpstr>'Data (ignore)'!stock_price?Symbol_etrm_ocid_qbeb</vt:lpstr>
      <vt:lpstr>'Data (ignore)'!stock_price?Symbol_fgp_ocid_qbeb</vt:lpstr>
      <vt:lpstr>'Data (ignore)'!stock_price?Symbol_fmd_ocid_qbeb</vt:lpstr>
      <vt:lpstr>'Data (ignore)'!stock_price?Symbol_gd_ocid_qbeb</vt:lpstr>
      <vt:lpstr>'Data (ignore)'!stock_price?Symbol_ge_ocid_qbeb</vt:lpstr>
      <vt:lpstr>'Data (ignore)'!stock_price?Symbol_gldd_ocid_qbeb</vt:lpstr>
      <vt:lpstr>'Data (ignore)'!stock_price?Symbol_hmc_ocid_qbeb</vt:lpstr>
      <vt:lpstr>'Data (ignore)'!stock_price?Symbol_infu_ocid_qbeb</vt:lpstr>
      <vt:lpstr>'Data (ignore)'!stock_price?Symbol_jnj_ocid_qbeb</vt:lpstr>
      <vt:lpstr>'Data (ignore)'!stock_price?Symbol_jnpr_ocid_qbeb</vt:lpstr>
      <vt:lpstr>'Data (ignore)'!stock_price?Symbol_jny_ocid_qbeb</vt:lpstr>
      <vt:lpstr>'Data (ignore)'!stock_price?Symbol_kf_ocid_qbeb</vt:lpstr>
      <vt:lpstr>'Data (ignore)'!stock_price?Symbol_kmp_ocid_qbeb</vt:lpstr>
      <vt:lpstr>'Data (ignore)'!stock_price?Symbol_kyth_ocid_qbeb</vt:lpstr>
      <vt:lpstr>'Data (ignore)'!stock_price?Symbol_mck_ocid_qbeb</vt:lpstr>
      <vt:lpstr>'Data (ignore)'!stock_price?Symbol_mrk_ocid_qbeb</vt:lpstr>
      <vt:lpstr>'Data (ignore)'!stock_price?Symbol_mrtx_ocid_qbeb</vt:lpstr>
      <vt:lpstr>'Data (ignore)'!stock_price?Symbol_msft_ocid_qbeb</vt:lpstr>
      <vt:lpstr>'Data (ignore)'!stock_price?Symbol_mvc_ocid_qbeb</vt:lpstr>
      <vt:lpstr>'Data (ignore)'!stock_price?Symbol_mwe_ocid_qbeb</vt:lpstr>
      <vt:lpstr>'Data (ignore)'!stock_price?Symbol_ncr_ocid_qbeb</vt:lpstr>
      <vt:lpstr>'Data (ignore)'!stock_price?Symbol_nktr_ocid_qbeb</vt:lpstr>
      <vt:lpstr>'Data (ignore)'!stock_price?Symbol_npk_ocid_qbeb</vt:lpstr>
      <vt:lpstr>'Data (ignore)'!stock_price?Symbol_npsp_ocid_qbeb</vt:lpstr>
      <vt:lpstr>'Data (ignore)'!stock_price?Symbol_ntii_ocid_qbeb</vt:lpstr>
      <vt:lpstr>'Data (ignore)'!stock_price?Symbol_oks_ocid_qbeb</vt:lpstr>
      <vt:lpstr>'Data (ignore)'!stock_price?Symbol_paa_ocid_qbeb</vt:lpstr>
      <vt:lpstr>'Data (ignore)'!stock_price?Symbol_pars_ocid_qbeb</vt:lpstr>
      <vt:lpstr>'Data (ignore)'!stock_price?Symbol_pcg_ocid_qbeb</vt:lpstr>
      <vt:lpstr>'Data (ignore)'!stock_price?Symbol_pcl_ocid_qbeb</vt:lpstr>
      <vt:lpstr>'Data (ignore)'!stock_price?Symbol_pvr_ocid_qbeb</vt:lpstr>
      <vt:lpstr>'Data (ignore)'!stock_price?Symbol_roic_ocid_qbeb</vt:lpstr>
      <vt:lpstr>'Data (ignore)'!stock_price?Symbol_roicw_ocid_qbeb</vt:lpstr>
      <vt:lpstr>'Data (ignore)'!stock_price?Symbol_siga_ocid_qbeb</vt:lpstr>
      <vt:lpstr>'Data (ignore)'!stock_price?Symbol_smbc_ocid_qbeb</vt:lpstr>
      <vt:lpstr>'Data (ignore)'!stock_price?Symbol_sne_ocid_qbeb</vt:lpstr>
      <vt:lpstr>'Data (ignore)'!stock_price?Symbol_soda_ocid_qbeb</vt:lpstr>
      <vt:lpstr>'Data (ignore)'!stock_price?Symbol_too_ocid_qbeb</vt:lpstr>
      <vt:lpstr>'Data (ignore)'!stock_price?Symbol_ttnp_ocid_qbeb</vt:lpstr>
      <vt:lpstr>'Data (ignore)'!stock_price?Symbol_usb_ocid_qbeb</vt:lpstr>
      <vt:lpstr>'Data (ignore)'!stock_price?Symbol_vno_ocid_qbeb</vt:lpstr>
      <vt:lpstr>'Data (ignore)'!stock_price?Symbol_vz_ocid_qbeb</vt:lpstr>
      <vt:lpstr>'Data (ignore)'!stock_price?Symbol_wfc_ocid_qbeb</vt:lpstr>
      <vt:lpstr>'Data (ignore)'!stock_price?Symbol_wmt_ocid_qbeb</vt:lpstr>
    </vt:vector>
  </TitlesOfParts>
  <Company>Barkers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Johnson</dc:creator>
  <cp:lastModifiedBy>Andy</cp:lastModifiedBy>
  <dcterms:created xsi:type="dcterms:W3CDTF">2010-08-05T20:22:47Z</dcterms:created>
  <dcterms:modified xsi:type="dcterms:W3CDTF">2013-12-16T03:49:31Z</dcterms:modified>
</cp:coreProperties>
</file>